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omments4.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https://baconl-my.sharepoint.com/personal/j_baltussen_baco_nl/Documents/Baco/VvZb/Rekentool/"/>
    </mc:Choice>
  </mc:AlternateContent>
  <xr:revisionPtr revIDLastSave="44" documentId="8_{BA0CED91-9972-4C01-A42F-3E942C6A8948}" xr6:coauthVersionLast="47" xr6:coauthVersionMax="47" xr10:uidLastSave="{6CA4AED7-805E-4D16-B9A2-B04076A3A72B}"/>
  <bookViews>
    <workbookView xWindow="1070" yWindow="-110" windowWidth="37440" windowHeight="21820" tabRatio="886" activeTab="8" xr2:uid="{00000000-000D-0000-FFFF-FFFF00000000}"/>
  </bookViews>
  <sheets>
    <sheet name="Rekentool watergerelateerde Em" sheetId="1" r:id="rId1"/>
    <sheet name="Rekentool luchtgerelateerde Em" sheetId="7" r:id="rId2"/>
    <sheet name="Balans CO2 CZV" sheetId="10" r:id="rId3"/>
    <sheet name="Conversie m3 naar Nm3" sheetId="18" r:id="rId4"/>
    <sheet name="Biogassamenstelling" sheetId="19" r:id="rId5"/>
    <sheet name="Berekening e-factor CO" sheetId="15" r:id="rId6"/>
    <sheet name="Schema's emissies rwzi" sheetId="16" r:id="rId7"/>
    <sheet name="Conversie-tabel IE's" sheetId="20" r:id="rId8"/>
    <sheet name="Colofon Rekentool  + Versiebehr" sheetId="11" r:id="rId9"/>
    <sheet name="DAT" sheetId="21"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5" i="7" l="1"/>
  <c r="B44" i="7"/>
  <c r="D80" i="7"/>
  <c r="J14" i="10"/>
  <c r="D189" i="7"/>
  <c r="D33" i="19" l="1"/>
  <c r="D32" i="19"/>
  <c r="D26" i="19"/>
  <c r="D128" i="7" l="1"/>
  <c r="D180" i="7" l="1"/>
  <c r="D178" i="7"/>
  <c r="D179" i="7"/>
  <c r="D141" i="7"/>
  <c r="D144" i="7" s="1"/>
  <c r="G19" i="7"/>
  <c r="D57" i="7"/>
  <c r="G45" i="7" s="1"/>
  <c r="D85" i="7"/>
  <c r="D181" i="7" l="1"/>
  <c r="D123" i="7"/>
  <c r="L71" i="10"/>
  <c r="G30" i="7" l="1"/>
  <c r="G31" i="7" l="1"/>
  <c r="G39" i="7"/>
  <c r="D86" i="7"/>
  <c r="K62" i="10" l="1"/>
  <c r="K54" i="10"/>
  <c r="B29" i="10"/>
  <c r="K80" i="10"/>
  <c r="B44" i="10" s="1"/>
  <c r="D165" i="7" l="1"/>
  <c r="D153" i="7" l="1"/>
  <c r="D56" i="7" l="1"/>
  <c r="D76" i="7" l="1"/>
  <c r="D90" i="7" s="1"/>
  <c r="D75" i="7"/>
  <c r="D89" i="7" s="1"/>
  <c r="K65" i="10"/>
  <c r="L72" i="10"/>
  <c r="D119" i="7"/>
  <c r="G25" i="7"/>
  <c r="I38" i="10" s="1"/>
  <c r="I39" i="10" s="1"/>
  <c r="D120" i="7"/>
  <c r="G15" i="1"/>
  <c r="H15" i="1" s="1"/>
  <c r="I15" i="1" s="1"/>
  <c r="G16" i="1"/>
  <c r="H16" i="1" s="1"/>
  <c r="I16" i="1" s="1"/>
  <c r="G17" i="1"/>
  <c r="H17" i="1" s="1"/>
  <c r="I17" i="1" s="1"/>
  <c r="G18" i="1"/>
  <c r="H18" i="1" s="1"/>
  <c r="I18" i="1" s="1"/>
  <c r="G19" i="1"/>
  <c r="H19" i="1" s="1"/>
  <c r="I19" i="1" s="1"/>
  <c r="G20" i="1"/>
  <c r="H20" i="1" s="1"/>
  <c r="I20" i="1" s="1"/>
  <c r="G21" i="1"/>
  <c r="H21" i="1" s="1"/>
  <c r="I21" i="1" s="1"/>
  <c r="G22" i="1"/>
  <c r="H22" i="1" s="1"/>
  <c r="I22" i="1" s="1"/>
  <c r="D136" i="7" l="1"/>
  <c r="D87" i="19"/>
  <c r="D85" i="19"/>
  <c r="D82" i="19"/>
  <c r="D81" i="19"/>
  <c r="D83" i="19" s="1"/>
  <c r="D76" i="19"/>
  <c r="D74" i="19"/>
  <c r="D72" i="19"/>
  <c r="D75" i="19" s="1"/>
  <c r="D71" i="19"/>
  <c r="D73" i="19" s="1"/>
  <c r="D70" i="19"/>
  <c r="D65" i="19"/>
  <c r="D63" i="19"/>
  <c r="D60" i="19"/>
  <c r="D59" i="19"/>
  <c r="D61" i="19" s="1"/>
  <c r="D64" i="19" s="1"/>
  <c r="D54" i="19"/>
  <c r="D52" i="19"/>
  <c r="D49" i="19"/>
  <c r="D48" i="19"/>
  <c r="D50" i="19" s="1"/>
  <c r="I46" i="19"/>
  <c r="D27" i="19"/>
  <c r="D25" i="19"/>
  <c r="H18" i="19" s="1"/>
  <c r="D19" i="19"/>
  <c r="D20" i="19" s="1"/>
  <c r="D22" i="19" s="1"/>
  <c r="D18" i="19"/>
  <c r="D23" i="19" s="1"/>
  <c r="I18" i="19" s="1"/>
  <c r="H78" i="18"/>
  <c r="J78" i="18" s="1"/>
  <c r="D78" i="18"/>
  <c r="F78" i="18" s="1"/>
  <c r="H77" i="18"/>
  <c r="J77" i="18" s="1"/>
  <c r="D77" i="18"/>
  <c r="F77" i="18" s="1"/>
  <c r="H76" i="18"/>
  <c r="J76" i="18" s="1"/>
  <c r="F76" i="18"/>
  <c r="D76" i="18"/>
  <c r="J75" i="18"/>
  <c r="H75" i="18"/>
  <c r="I75" i="18" s="1"/>
  <c r="F75" i="18"/>
  <c r="D75" i="18"/>
  <c r="I74" i="18"/>
  <c r="H74" i="18"/>
  <c r="J74" i="18" s="1"/>
  <c r="F74" i="18"/>
  <c r="D74" i="18"/>
  <c r="J73" i="18"/>
  <c r="I73" i="18"/>
  <c r="H73" i="18"/>
  <c r="D73" i="18"/>
  <c r="F73" i="18" s="1"/>
  <c r="J72" i="18"/>
  <c r="I72" i="18"/>
  <c r="H72" i="18"/>
  <c r="D72" i="18"/>
  <c r="F72" i="18" s="1"/>
  <c r="H71" i="18"/>
  <c r="J71" i="18" s="1"/>
  <c r="D71" i="18"/>
  <c r="F71" i="18" s="1"/>
  <c r="H70" i="18"/>
  <c r="J70" i="18" s="1"/>
  <c r="D70" i="18"/>
  <c r="F70" i="18" s="1"/>
  <c r="H69" i="18"/>
  <c r="J69" i="18" s="1"/>
  <c r="D69" i="18"/>
  <c r="F69" i="18" s="1"/>
  <c r="J68" i="18"/>
  <c r="H68" i="18"/>
  <c r="I68" i="18" s="1"/>
  <c r="F68" i="18"/>
  <c r="D68" i="18"/>
  <c r="J67" i="18"/>
  <c r="H67" i="18"/>
  <c r="I67" i="18" s="1"/>
  <c r="F67" i="18"/>
  <c r="D67" i="18"/>
  <c r="I66" i="18"/>
  <c r="H66" i="18"/>
  <c r="J66" i="18" s="1"/>
  <c r="F66" i="18"/>
  <c r="D66" i="18"/>
  <c r="I65" i="18"/>
  <c r="H65" i="18"/>
  <c r="J65" i="18" s="1"/>
  <c r="D65" i="18"/>
  <c r="F65" i="18" s="1"/>
  <c r="J64" i="18"/>
  <c r="I64" i="18"/>
  <c r="H64" i="18"/>
  <c r="D64" i="18"/>
  <c r="F64" i="18" s="1"/>
  <c r="H63" i="18"/>
  <c r="J63" i="18" s="1"/>
  <c r="D63" i="18"/>
  <c r="F63" i="18" s="1"/>
  <c r="H62" i="18"/>
  <c r="J62" i="18" s="1"/>
  <c r="F62" i="18"/>
  <c r="D62" i="18"/>
  <c r="H61" i="18"/>
  <c r="J61" i="18" s="1"/>
  <c r="D61" i="18"/>
  <c r="F61" i="18" s="1"/>
  <c r="J60" i="18"/>
  <c r="I60" i="18"/>
  <c r="H60" i="18"/>
  <c r="F60" i="18"/>
  <c r="D60" i="18"/>
  <c r="J59" i="18"/>
  <c r="H59" i="18"/>
  <c r="I59" i="18" s="1"/>
  <c r="D59" i="18"/>
  <c r="F59" i="18" s="1"/>
  <c r="I58" i="18"/>
  <c r="H58" i="18"/>
  <c r="J58" i="18" s="1"/>
  <c r="F58" i="18"/>
  <c r="D58" i="18"/>
  <c r="H57" i="18"/>
  <c r="J57" i="18" s="1"/>
  <c r="D57" i="18"/>
  <c r="F57" i="18" s="1"/>
  <c r="I56" i="18"/>
  <c r="H56" i="18"/>
  <c r="J56" i="18" s="1"/>
  <c r="D56" i="18"/>
  <c r="F56" i="18" s="1"/>
  <c r="H55" i="18"/>
  <c r="J55" i="18" s="1"/>
  <c r="D55" i="18"/>
  <c r="F55" i="18" s="1"/>
  <c r="H54" i="18"/>
  <c r="J54" i="18" s="1"/>
  <c r="F54" i="18"/>
  <c r="D54" i="18"/>
  <c r="D13" i="18"/>
  <c r="D14" i="18" s="1"/>
  <c r="I47" i="19" l="1"/>
  <c r="I49" i="19" s="1"/>
  <c r="D24" i="19"/>
  <c r="G18" i="19" s="1"/>
  <c r="D86" i="19"/>
  <c r="D84" i="19"/>
  <c r="D51" i="19"/>
  <c r="D62" i="19"/>
  <c r="I48" i="19"/>
  <c r="I50" i="19" s="1"/>
  <c r="D53" i="19"/>
  <c r="I61" i="18"/>
  <c r="I69" i="18"/>
  <c r="I77" i="18"/>
  <c r="I55" i="18"/>
  <c r="I63" i="18"/>
  <c r="I71" i="18"/>
  <c r="I76" i="18"/>
  <c r="I57" i="18"/>
  <c r="I54" i="18"/>
  <c r="I62" i="18"/>
  <c r="I70" i="18"/>
  <c r="I78" i="18"/>
  <c r="G16" i="7" l="1"/>
  <c r="K56" i="10" l="1"/>
  <c r="K82" i="10"/>
  <c r="B31" i="10"/>
  <c r="D110" i="7"/>
  <c r="D127" i="7"/>
  <c r="D135" i="7" l="1"/>
  <c r="D122" i="7" l="1"/>
  <c r="D121" i="7"/>
  <c r="L26" i="10"/>
  <c r="M15" i="10"/>
  <c r="J15" i="10"/>
  <c r="K26" i="10"/>
  <c r="L65" i="10"/>
  <c r="M13" i="10"/>
  <c r="M17" i="10" l="1"/>
  <c r="D81" i="7" l="1"/>
  <c r="D71" i="7" l="1"/>
  <c r="K87" i="10" l="1"/>
  <c r="G44" i="10" s="1"/>
  <c r="L62" i="10"/>
  <c r="L57" i="10"/>
  <c r="L54" i="10"/>
  <c r="E39" i="10"/>
  <c r="D167" i="7"/>
  <c r="D166" i="7"/>
  <c r="D155" i="7"/>
  <c r="D154" i="7"/>
  <c r="F144" i="7"/>
  <c r="G144" i="7" s="1"/>
  <c r="D109" i="7"/>
  <c r="D74" i="7"/>
  <c r="D92" i="7" s="1"/>
  <c r="D72" i="7"/>
  <c r="D91" i="7" s="1"/>
  <c r="D70" i="7"/>
  <c r="J13" i="10"/>
  <c r="J16" i="10"/>
  <c r="D107" i="7"/>
  <c r="K57" i="10"/>
  <c r="G18" i="7"/>
  <c r="G34" i="1"/>
  <c r="H34" i="1" s="1"/>
  <c r="I34" i="1" s="1"/>
  <c r="G33" i="1"/>
  <c r="H33" i="1" s="1"/>
  <c r="I33" i="1" s="1"/>
  <c r="G32" i="1"/>
  <c r="H32" i="1" s="1"/>
  <c r="I32" i="1" s="1"/>
  <c r="G31" i="1"/>
  <c r="H31" i="1" s="1"/>
  <c r="I31" i="1" s="1"/>
  <c r="G30" i="1"/>
  <c r="H30" i="1" s="1"/>
  <c r="I30" i="1" s="1"/>
  <c r="G29" i="1"/>
  <c r="H29" i="1" s="1"/>
  <c r="I29" i="1" s="1"/>
  <c r="G28" i="1"/>
  <c r="H28" i="1" s="1"/>
  <c r="I28" i="1" s="1"/>
  <c r="D88" i="7" l="1"/>
  <c r="L16" i="10" s="1"/>
  <c r="F179" i="7"/>
  <c r="G179" i="7" s="1"/>
  <c r="F180" i="7"/>
  <c r="G180" i="7" s="1"/>
  <c r="K55" i="10"/>
  <c r="L55" i="10" s="1"/>
  <c r="G21" i="7"/>
  <c r="L38" i="10"/>
  <c r="L39" i="10" s="1"/>
  <c r="K63" i="10"/>
  <c r="L63" i="10" s="1"/>
  <c r="B32" i="10"/>
  <c r="K81" i="10"/>
  <c r="B45" i="10" s="1"/>
  <c r="B30" i="10"/>
  <c r="J11" i="10"/>
  <c r="B46" i="10"/>
  <c r="K83" i="10"/>
  <c r="B47" i="10" s="1"/>
  <c r="D129" i="7"/>
  <c r="L56" i="10"/>
  <c r="D161" i="7"/>
  <c r="G26" i="7"/>
  <c r="K11" i="10"/>
  <c r="D156" i="7"/>
  <c r="F156" i="7" s="1"/>
  <c r="G156" i="7" s="1"/>
  <c r="K58" i="10" l="1"/>
  <c r="L58" i="10" s="1"/>
  <c r="L59" i="10" s="1"/>
  <c r="L64" i="10"/>
  <c r="M31" i="10"/>
  <c r="B48" i="10"/>
  <c r="L11" i="10"/>
  <c r="B33" i="10"/>
  <c r="D87" i="7"/>
  <c r="J12" i="10"/>
  <c r="J17" i="10" s="1"/>
  <c r="D108" i="7"/>
  <c r="K84" i="10"/>
  <c r="D168" i="7"/>
  <c r="D111" i="7" l="1"/>
  <c r="F111" i="7" s="1"/>
  <c r="G111" i="7" s="1"/>
  <c r="L12" i="10"/>
  <c r="L17" i="10" s="1"/>
  <c r="D97" i="7"/>
  <c r="F168" i="7"/>
  <c r="G168" i="7" s="1"/>
  <c r="L66" i="10"/>
  <c r="K12" i="10"/>
  <c r="K17" i="10" s="1"/>
  <c r="L68" i="10" l="1"/>
  <c r="L73" i="10" l="1"/>
  <c r="C23" i="10" s="1"/>
  <c r="D117" i="7" s="1"/>
  <c r="D134" i="7" s="1"/>
  <c r="D124" i="7" l="1"/>
  <c r="D131" i="7" s="1"/>
  <c r="D137" i="7"/>
  <c r="F137" i="7" s="1"/>
  <c r="G137" i="7" s="1"/>
  <c r="K75" i="10"/>
  <c r="K88" i="10" s="1"/>
  <c r="K89" i="10" s="1"/>
  <c r="D84" i="7" s="1"/>
  <c r="D96" i="7" s="1"/>
  <c r="D93" i="7" l="1"/>
  <c r="F93" i="7" s="1"/>
  <c r="G46" i="10"/>
  <c r="D23" i="10" s="1"/>
  <c r="G45" i="10"/>
  <c r="G28" i="10" s="1"/>
  <c r="G29" i="10" s="1"/>
  <c r="K90" i="10"/>
  <c r="E23" i="10"/>
  <c r="G93" i="7" l="1"/>
  <c r="G96" i="7"/>
  <c r="G48" i="10"/>
  <c r="G9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Joop</author>
  </authors>
  <commentList>
    <comment ref="F7" authorId="0" shapeId="0" xr:uid="{00000000-0006-0000-0000-000001000000}">
      <text>
        <r>
          <rPr>
            <b/>
            <sz val="9"/>
            <color indexed="81"/>
            <rFont val="Tahoma"/>
            <family val="2"/>
          </rPr>
          <t xml:space="preserve">Joop: </t>
        </r>
        <r>
          <rPr>
            <sz val="9"/>
            <color indexed="81"/>
            <rFont val="Tahoma"/>
            <family val="2"/>
          </rPr>
          <t>D</t>
        </r>
        <r>
          <rPr>
            <sz val="9"/>
            <color indexed="81"/>
            <rFont val="Calibri"/>
            <family val="2"/>
            <scheme val="minor"/>
          </rPr>
          <t>e belasting is weergegeven als IE à 150 g TZV werkelijke belasting. Dit wordt ook wel uitgedrukt in IE150wb (IE150 werkelijke belasting). Het betreft de  daadwerkelijke IE's à 150 g TZV die in het te rapporteren kalenderjaar zijn binnengekomen met het influent op de rwzi. Het gaat in dit geval dus niet over de ontwerpbelasting van de rwzi.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Joop Baltussen</author>
    <author>Joop</author>
  </authors>
  <commentList>
    <comment ref="F10" authorId="0" shapeId="0" xr:uid="{00000000-0006-0000-0100-000001000000}">
      <text>
        <r>
          <rPr>
            <b/>
            <sz val="10"/>
            <color indexed="81"/>
            <rFont val="Calibri"/>
            <family val="2"/>
            <scheme val="minor"/>
          </rPr>
          <t xml:space="preserve">Joop Baltussen: </t>
        </r>
        <r>
          <rPr>
            <sz val="10"/>
            <color indexed="81"/>
            <rFont val="Calibri"/>
            <family val="2"/>
            <scheme val="minor"/>
          </rPr>
          <t xml:space="preserve">IE150wb: hiermee worden IE's bedoeld à 150 g TZV die de werkelijke belasting (wb) van de rwzi in het betreffende kalenderjaar representeren. Zie voor een toelichting op soorten IE's het rode tabblad 'Conversie-tabel IE's'
</t>
        </r>
      </text>
    </comment>
    <comment ref="E16" authorId="1" shapeId="0" xr:uid="{00000000-0006-0000-0100-000002000000}">
      <text>
        <r>
          <rPr>
            <b/>
            <sz val="10"/>
            <color indexed="81"/>
            <rFont val="Calibri"/>
            <family val="2"/>
            <scheme val="minor"/>
          </rPr>
          <t xml:space="preserve">Joop: </t>
        </r>
        <r>
          <rPr>
            <sz val="10"/>
            <color indexed="81"/>
            <rFont val="Calibri"/>
            <family val="2"/>
            <scheme val="minor"/>
          </rPr>
          <t>geef hier de procentwaarden op als procentpunten. Voorbeeld: 25% ingeven als '25' en niet als '0,25'. De zogenaamde getalnotatie is hier op 'Percentage' gezet.</t>
        </r>
      </text>
    </comment>
    <comment ref="E18" authorId="1" shapeId="0" xr:uid="{00000000-0006-0000-0100-000003000000}">
      <text>
        <r>
          <rPr>
            <b/>
            <sz val="10"/>
            <color indexed="81"/>
            <rFont val="Calibri"/>
            <family val="2"/>
            <scheme val="minor"/>
          </rPr>
          <t xml:space="preserve">Joop: </t>
        </r>
        <r>
          <rPr>
            <sz val="10"/>
            <color indexed="81"/>
            <rFont val="Calibri"/>
            <family val="2"/>
            <scheme val="minor"/>
          </rPr>
          <t>geef hier de procentwaarden op als procentpunten. Voorbeeld: 25% ingeven als '25' en niet als '0,25'</t>
        </r>
      </text>
    </comment>
    <comment ref="E19" authorId="1" shapeId="0" xr:uid="{00000000-0006-0000-0100-000004000000}">
      <text>
        <r>
          <rPr>
            <b/>
            <sz val="10"/>
            <color indexed="81"/>
            <rFont val="Calibri"/>
            <family val="2"/>
            <scheme val="minor"/>
          </rPr>
          <t xml:space="preserve">Joop: </t>
        </r>
        <r>
          <rPr>
            <sz val="10"/>
            <color indexed="81"/>
            <rFont val="Calibri"/>
            <family val="2"/>
            <scheme val="minor"/>
          </rPr>
          <t>in deze cel kunt u CZV-waarde invullen van de betreffende C-bron. Van enkele C-bronnen zijn de waarden opgenomen in  bijlage 3.2 van STOWA-rapport 2014-09</t>
        </r>
      </text>
    </comment>
    <comment ref="E25" authorId="1" shapeId="0" xr:uid="{00000000-0006-0000-0100-000005000000}">
      <text>
        <r>
          <rPr>
            <b/>
            <sz val="10"/>
            <color indexed="81"/>
            <rFont val="Calibri"/>
            <family val="2"/>
            <scheme val="minor"/>
          </rPr>
          <t xml:space="preserve">Joop: </t>
        </r>
        <r>
          <rPr>
            <sz val="10"/>
            <color indexed="81"/>
            <rFont val="Calibri"/>
            <family val="2"/>
            <scheme val="minor"/>
          </rPr>
          <t>geef hier de procentwaarden op als procentpunten. Voorbeeld: 25% ingeven als '25' en niet als '0,25'</t>
        </r>
      </text>
    </comment>
    <comment ref="B28" authorId="0" shapeId="0" xr:uid="{87525826-716D-46AF-8968-A7B3BB412650}">
      <text>
        <r>
          <rPr>
            <b/>
            <sz val="10"/>
            <color indexed="81"/>
            <rFont val="Calibri"/>
            <family val="2"/>
            <scheme val="minor"/>
          </rPr>
          <t xml:space="preserve">Joop Baltussen: </t>
        </r>
        <r>
          <rPr>
            <sz val="10"/>
            <color indexed="81"/>
            <rFont val="Calibri"/>
            <family val="2"/>
            <scheme val="minor"/>
          </rPr>
          <t>Als u géén slibgisting heeft of de gisting niet in gebruik is, vul dan in cel G27 '0' nul in.
Als u wel een slibgisting in gebruik heeft, vul dan hier de totale vracht drogestof (indamprest) in die op jaarbasis aan de slibgisting is toegevoerd. Dat kan mogelijk bestaan uit eigen slib, slib van elders aangevoerd en/of organisch afval.</t>
        </r>
      </text>
    </comment>
    <comment ref="G28" authorId="0" shapeId="0" xr:uid="{5941F48A-716C-4E04-80BF-0014915BBA83}">
      <text>
        <r>
          <rPr>
            <b/>
            <sz val="9"/>
            <color indexed="81"/>
            <rFont val="Tahoma"/>
            <family val="2"/>
          </rPr>
          <t xml:space="preserve">Joop Baltussen: </t>
        </r>
        <r>
          <rPr>
            <sz val="9"/>
            <color indexed="81"/>
            <rFont val="Tahoma"/>
            <family val="2"/>
          </rPr>
          <t>hier dient '0' (nul) ingevuld te worden als op de rwzi geen slibgisting aanwezig is</t>
        </r>
      </text>
    </comment>
    <comment ref="G29" authorId="0" shapeId="0" xr:uid="{7CA9F475-2F19-4C95-8DD9-218203706576}">
      <text>
        <r>
          <rPr>
            <b/>
            <sz val="9"/>
            <color indexed="81"/>
            <rFont val="Tahoma"/>
            <family val="2"/>
          </rPr>
          <t xml:space="preserve">Joop Baltussen: </t>
        </r>
        <r>
          <rPr>
            <sz val="9"/>
            <color indexed="81"/>
            <rFont val="Tahoma"/>
            <family val="2"/>
          </rPr>
          <t>het format van de cel is procent en niet een getal !! De opmaak van deze cel mag niet worden veranderd.</t>
        </r>
      </text>
    </comment>
    <comment ref="E31" authorId="1" shapeId="0" xr:uid="{00000000-0006-0000-0100-000006000000}">
      <text>
        <r>
          <rPr>
            <b/>
            <sz val="10"/>
            <color indexed="81"/>
            <rFont val="Calibri"/>
            <family val="2"/>
            <scheme val="minor"/>
          </rPr>
          <t xml:space="preserve">Joop: </t>
        </r>
        <r>
          <rPr>
            <sz val="10"/>
            <color indexed="81"/>
            <rFont val="Calibri"/>
            <family val="2"/>
            <scheme val="minor"/>
          </rPr>
          <t>geef hier de procentwaarden op als procentpunten. Voorbeeld: 25% ingeven als '25' en niet als '0,25'</t>
        </r>
      </text>
    </comment>
    <comment ref="A33" authorId="1" shapeId="0" xr:uid="{00000000-0006-0000-0100-000007000000}">
      <text>
        <r>
          <rPr>
            <b/>
            <sz val="10"/>
            <color indexed="81"/>
            <rFont val="Calibri"/>
            <family val="2"/>
            <scheme val="minor"/>
          </rPr>
          <t xml:space="preserve">Joop: </t>
        </r>
        <r>
          <rPr>
            <sz val="10"/>
            <color indexed="81"/>
            <rFont val="Calibri"/>
            <family val="2"/>
            <scheme val="minor"/>
          </rPr>
          <t>2018: In tabblad 'Conversie naar Nm3' kunt u uw biogashoeveelheden van 'm3 als zodanig (a.z.)' omzetten naar 'Nm3'. U dient daartoe wel de temperatuur te weten van het gas en de gasdruk (van het gas ter plaatse van de gasmeter).</t>
        </r>
      </text>
    </comment>
    <comment ref="G40" authorId="1" shapeId="0" xr:uid="{00000000-0006-0000-0100-000008000000}">
      <text>
        <r>
          <rPr>
            <b/>
            <sz val="10"/>
            <color indexed="81"/>
            <rFont val="Calibri"/>
            <family val="2"/>
            <scheme val="minor"/>
          </rPr>
          <t xml:space="preserve">Joop: </t>
        </r>
        <r>
          <rPr>
            <sz val="10"/>
            <color indexed="81"/>
            <rFont val="Calibri"/>
            <family val="2"/>
            <scheme val="minor"/>
          </rPr>
          <t>2018: Vul hier het CH4-gehalte in van uw biogas. Wilt u zelf rekenen aan het aandeel CH4 ga dan naar het tabblad 'Biogassamenstelling'. Beschikt u over meerdere biogasstraten en wilt u een gewogen samenstelling berekenen, ga dan ook naar het tabblad 'Biogassamenstelling' onder 2. Gewogen samenstelling. In dat tabblad kunt u de gewenste berekeningen uitvoeren. Het rekenresultaat kunt u vervolgens gebruiken in dit tabblad 'Rekentool luchtgerelateerde Em'.
Ook al heeft u op de betreffende rwzi geen slibgisting, vul deze cel altijd in. Het adviespercentage dat het beste ingevuld kan worden is 63%. De waarde mag in geen geval onder de 60% liggen of boven de 65%. 
Het format van deze cel is procent en niet een getal.</t>
        </r>
      </text>
    </comment>
    <comment ref="B42" authorId="0" shapeId="0" xr:uid="{C9B3EBFA-6B46-436B-824F-3475C3DC9398}">
      <text>
        <r>
          <rPr>
            <b/>
            <sz val="10"/>
            <color indexed="81"/>
            <rFont val="Calibri"/>
            <family val="2"/>
            <scheme val="minor"/>
          </rPr>
          <t xml:space="preserve">Joop Baltussen: </t>
        </r>
        <r>
          <rPr>
            <sz val="10"/>
            <color indexed="81"/>
            <rFont val="Calibri"/>
            <family val="2"/>
            <scheme val="minor"/>
          </rPr>
          <t xml:space="preserve">Er wordt met ingang van 2024 geen onderscheid gemaakt tussen drukgevulde en atmosferische WKK's. Reden daarvoor is dat anno 2025 WKK's die gestookt worden met diesel of huisbrandolie slechts weinig voorkomen. Bovendien draaien dergelijke motoren slechts weinig uren ten opzichte van de biogasmotoren.  </t>
        </r>
      </text>
    </comment>
    <comment ref="G43" authorId="0" shapeId="0" xr:uid="{08E19069-9ECD-4D71-BDFF-79E7E6572F4D}">
      <text>
        <r>
          <rPr>
            <b/>
            <sz val="10"/>
            <color indexed="81"/>
            <rFont val="Calibri"/>
            <family val="2"/>
            <scheme val="minor"/>
          </rPr>
          <t xml:space="preserve">Joop Baltussen: </t>
        </r>
        <r>
          <rPr>
            <sz val="10"/>
            <color indexed="81"/>
            <rFont val="Calibri"/>
            <family val="2"/>
            <scheme val="minor"/>
          </rPr>
          <t xml:space="preserve">Vul hier 'ja' of 'nee' in. Als een afwijkende tekst invult krijgt u een foutmelding. </t>
        </r>
      </text>
    </comment>
    <comment ref="G44" authorId="0" shapeId="0" xr:uid="{47513652-7D0F-4E23-A474-999F82D2322D}">
      <text>
        <r>
          <rPr>
            <b/>
            <sz val="10"/>
            <color indexed="81"/>
            <rFont val="Calibri"/>
            <family val="2"/>
            <scheme val="minor"/>
          </rPr>
          <t xml:space="preserve">Joop Baltussen: </t>
        </r>
        <r>
          <rPr>
            <sz val="10"/>
            <color indexed="81"/>
            <rFont val="Calibri"/>
            <family val="2"/>
            <scheme val="minor"/>
          </rPr>
          <t>Vul deze cel alleen in als u in G43 'ja' hebt ingevuld. Als u 'nee' invult in G43, vul dan op deze plaats '0' in. 
Cel G44 kleurt rood als u nee hebt ingevuld in cel G43. De rode kleur is bedoeld om u erop te wijzen dat bij een 'nee' hier '0' ingevuld moet worden. De rode kleur is géén foutmelding.</t>
        </r>
      </text>
    </comment>
    <comment ref="B45" authorId="0" shapeId="0" xr:uid="{5A8FD02E-EF65-4BCF-A58A-F38272FC8EB0}">
      <text>
        <r>
          <rPr>
            <b/>
            <sz val="10"/>
            <color indexed="81"/>
            <rFont val="Calibri"/>
            <family val="2"/>
            <scheme val="minor"/>
          </rPr>
          <t xml:space="preserve">Joop Baltussen: </t>
        </r>
        <r>
          <rPr>
            <sz val="10"/>
            <color indexed="81"/>
            <rFont val="Calibri"/>
            <family val="2"/>
            <scheme val="minor"/>
          </rPr>
          <t>De hoeveelheid biogas die is verwerkt met de GGI-CVI-combinatie wordt, als u in G43 'ja' heeft ingevuld, berekend. Maw u hoeft dat zelf niet in te vullen in G45. Deze berekening is gebaseerd op de hoeveelheid vloeibare CO2 die op jaarbasis is geproduceerd/afgevoerd. Adh van het CO2-gehalte van biogas wordt dan berekend hoeveel biogas ingevoed is in de GGI-CVI-combinatie.</t>
        </r>
      </text>
    </comment>
    <comment ref="G45" authorId="0" shapeId="0" xr:uid="{64C7B3B7-52F1-4C7B-9F3F-9F514288F961}">
      <text>
        <r>
          <rPr>
            <b/>
            <sz val="10"/>
            <color indexed="81"/>
            <rFont val="Calibri"/>
            <family val="2"/>
            <scheme val="minor"/>
          </rPr>
          <t xml:space="preserve">Joop Baltussen: </t>
        </r>
        <r>
          <rPr>
            <sz val="10"/>
            <color indexed="81"/>
            <rFont val="Calibri"/>
            <family val="2"/>
            <scheme val="minor"/>
          </rPr>
          <t>Als u in G43 'ja' invult wordt de inhoud van deze cel berekend. Vult u 'nee' in dan staat er '0'.</t>
        </r>
      </text>
    </comment>
    <comment ref="D52" authorId="1" shapeId="0" xr:uid="{00000000-0006-0000-0100-000009000000}">
      <text>
        <r>
          <rPr>
            <b/>
            <sz val="10"/>
            <color indexed="81"/>
            <rFont val="Calibri"/>
            <family val="2"/>
            <scheme val="minor"/>
          </rPr>
          <t xml:space="preserve">Joop Baltussen: </t>
        </r>
        <r>
          <rPr>
            <sz val="10"/>
            <color indexed="81"/>
            <rFont val="Calibri"/>
            <family val="2"/>
            <scheme val="minor"/>
          </rPr>
          <t xml:space="preserve">De ingevulde waarde betreft de CO2-emissiefactor van methanol. In het geval dat u een andere C-bron gebruikt dient u hier een andere waarde in te vullen. Van enkele C-bronnen zijn CO2-emissiefactoren weergegeven in bijlage 3.2 van STOWA-rapport 2014-09. </t>
        </r>
      </text>
    </comment>
    <comment ref="D56" authorId="1" shapeId="0" xr:uid="{00000000-0006-0000-0100-00000A000000}">
      <text>
        <r>
          <rPr>
            <b/>
            <sz val="10"/>
            <color indexed="81"/>
            <rFont val="Calibri"/>
            <family val="2"/>
            <scheme val="minor"/>
          </rPr>
          <t>Joop:</t>
        </r>
        <r>
          <rPr>
            <sz val="10"/>
            <color indexed="81"/>
            <rFont val="Calibri"/>
            <family val="2"/>
            <scheme val="minor"/>
          </rPr>
          <t xml:space="preserve"> 2018 en 2024: Met ingang van 2018 kan in dit spreadsheet gewerkt worden met andere CH4- en het CO2-gehaltes in het biogas. Het berekende gehalte CH4 en CO2 van het biogas wordt dan berekend op basis van het CH4-aandeel van het biogas in cel G40. Dit betekent dat de inhoud van cel D56 en D57 dan ook verandert.</t>
        </r>
      </text>
    </comment>
    <comment ref="D58" authorId="1" shapeId="0" xr:uid="{00000000-0006-0000-0100-00000B000000}">
      <text>
        <r>
          <rPr>
            <b/>
            <sz val="10"/>
            <color indexed="81"/>
            <rFont val="Calibri"/>
            <family val="2"/>
            <scheme val="minor"/>
          </rPr>
          <t xml:space="preserve">Joop: </t>
        </r>
        <r>
          <rPr>
            <sz val="10"/>
            <color indexed="81"/>
            <rFont val="Calibri"/>
            <family val="2"/>
            <scheme val="minor"/>
          </rPr>
          <t>2019, ongewijzigd in 2024: De emissiefactor is berekend aan de hand RVO-tabel 01-2024: 72,5 kg CO2/GJ. Bij een energieinhoud van 43,2 MJ/kg is de specifieke CO2-emissiefactor 72,5 * 43,2 = 3.132 g CO2/kg gasolie of dieselolie.</t>
        </r>
      </text>
    </comment>
    <comment ref="D60" authorId="1" shapeId="0" xr:uid="{00000000-0006-0000-0100-00000C000000}">
      <text>
        <r>
          <rPr>
            <b/>
            <sz val="10"/>
            <color indexed="81"/>
            <rFont val="Calibri"/>
            <family val="2"/>
            <scheme val="minor"/>
          </rPr>
          <t xml:space="preserve">Joop: </t>
        </r>
        <r>
          <rPr>
            <sz val="10"/>
            <color indexed="81"/>
            <rFont val="Calibri"/>
            <family val="2"/>
            <scheme val="minor"/>
          </rPr>
          <t>2024: Bij een energieinhoud van 31,65 MJ/Nm3 ae is de specifieke CO2-emissiefactor 56,2*31,65 = 1.778,73 g CO2/Nm3 ae. Waarbij de emissiefactor 56,2 kg CO2/GJ ontleend is aan de RVO-tabel 01-2024.</t>
        </r>
      </text>
    </comment>
    <comment ref="D66" authorId="0" shapeId="0" xr:uid="{ACA99C06-5482-4189-BBDC-2207C6933310}">
      <text>
        <r>
          <rPr>
            <b/>
            <sz val="10"/>
            <color indexed="81"/>
            <rFont val="Calibri"/>
            <family val="2"/>
            <scheme val="minor"/>
          </rPr>
          <t xml:space="preserve">Joop Baltussen: </t>
        </r>
        <r>
          <rPr>
            <sz val="10"/>
            <color indexed="81"/>
            <rFont val="Calibri"/>
            <family val="2"/>
            <scheme val="minor"/>
          </rPr>
          <t xml:space="preserve">2024: De e-factor voor CH4-emissie vanuit de waterlijn wordt verlaagd van 8,75 naar 7,5 g CH4/(kg CZVaanvoer - kg CZVslib vanuit water- naar sliblijn). De aanpassing gebeurt op basis van de 2019 Refinement IPCC </t>
        </r>
      </text>
    </comment>
    <comment ref="D67" authorId="0" shapeId="0" xr:uid="{4B96AF12-971B-4EC9-99F4-C56F7232E9C6}">
      <text>
        <r>
          <rPr>
            <b/>
            <sz val="10"/>
            <color indexed="81"/>
            <rFont val="Calibri"/>
            <family val="2"/>
            <scheme val="minor"/>
          </rPr>
          <t xml:space="preserve">Joop Baltussen: </t>
        </r>
        <r>
          <rPr>
            <sz val="10"/>
            <color indexed="81"/>
            <rFont val="Calibri"/>
            <family val="2"/>
            <scheme val="minor"/>
          </rPr>
          <t>2024: Ten gevolge van de 2019 Refinement IPCC, met een verwijzing naar het IPCC 2006 Guidelines hoofdstuk Chapter 4: Biological Treatment of Solid Waste, is de CH4-emissie berekening voor de sliblijn veranderd. Deze was gebaseerd op de geproduceerde hoeveelheid biogas en bedroeg 29,636 g CH4 per NM3 biogas geproduceerd. Met de 2019 Refinement is deze veranderd naar 2 g CH4/kg drogestof aangevoerd in de slibgisting. Ook het extern aangevoerde slib dat in de slibgisting wordt gebracht dient daarin betrokken te worden. Deze emissiefactor wordt met ingang van 2024 (die betrekking heeft op rapportagejaar 2023) voor het eerst toegepast.</t>
        </r>
      </text>
    </comment>
    <comment ref="D71" authorId="0" shapeId="0" xr:uid="{00000000-0006-0000-0100-00000E000000}">
      <text>
        <r>
          <rPr>
            <b/>
            <sz val="10"/>
            <color indexed="81"/>
            <rFont val="Calibri"/>
            <family val="2"/>
            <scheme val="minor"/>
          </rPr>
          <t xml:space="preserve">Joop Baltussen: </t>
        </r>
        <r>
          <rPr>
            <sz val="10"/>
            <color indexed="81"/>
            <rFont val="Calibri"/>
            <family val="2"/>
            <scheme val="minor"/>
          </rPr>
          <t>E-factor is afkomstig uit het e-MJV en is 9,49 g VOS per GJ aardgas. In het e-MJV wordt daarvan 60% van de berekende emissie aangemerkt als CH4 en de rest als NMVOS-rest. 1 M3 ae heeft een energie inhoud van 31,65 MJ.</t>
        </r>
      </text>
    </comment>
    <comment ref="D73" authorId="0" shapeId="0" xr:uid="{00000000-0006-0000-0100-00000F000000}">
      <text>
        <r>
          <rPr>
            <b/>
            <sz val="10"/>
            <color indexed="81"/>
            <rFont val="Calibri"/>
            <family val="2"/>
            <scheme val="minor"/>
          </rPr>
          <t xml:space="preserve">Joop Baltussen: </t>
        </r>
        <r>
          <rPr>
            <sz val="10"/>
            <color indexed="81"/>
            <rFont val="Calibri"/>
            <family val="2"/>
            <scheme val="minor"/>
          </rPr>
          <t>e-factor is afkomstig uit het e-MJV en bedraagt 150 g VOS per GJ diesel. In het e-MJV wordt daarvan 4% van de berekende emissie aangemerkt als CH4 en de rest als NMVOS-rest (96%).</t>
        </r>
      </text>
    </comment>
    <comment ref="D75" authorId="0" shapeId="0" xr:uid="{DFC82E6A-474C-425E-AD42-FA7C69BCF415}">
      <text>
        <r>
          <rPr>
            <b/>
            <sz val="10"/>
            <color indexed="81"/>
            <rFont val="Calibri"/>
            <family val="2"/>
            <scheme val="minor"/>
          </rPr>
          <t xml:space="preserve">Joop Baltussen: </t>
        </r>
        <r>
          <rPr>
            <sz val="10"/>
            <color indexed="81"/>
            <rFont val="Calibri"/>
            <family val="2"/>
            <scheme val="minor"/>
          </rPr>
          <t>Anno 2024 zijn er weinig GGI's waarbij de methaanslip structureel wordt gemeten. Er is voor gekozen om vooralsnog 1% aan te houden. Deze 1% komt overeen met hetgeen maximum toegestaan is volgens de NTA 8080-1. De emissiefactor is gekoppeld aan het methaan gehalte van het biogas, wat opgegeven is door de gebruiker in cel G40.</t>
        </r>
      </text>
    </comment>
    <comment ref="D76" authorId="0" shapeId="0" xr:uid="{F3972E27-23BC-4244-9696-58015FFCF127}">
      <text>
        <r>
          <rPr>
            <b/>
            <sz val="10"/>
            <color indexed="81"/>
            <rFont val="Calibri"/>
            <family val="2"/>
            <scheme val="minor"/>
          </rPr>
          <t xml:space="preserve">Joop Baltussen: </t>
        </r>
        <r>
          <rPr>
            <sz val="10"/>
            <color indexed="81"/>
            <rFont val="Calibri"/>
            <family val="2"/>
            <scheme val="minor"/>
          </rPr>
          <t>Het op te werken CO2-gas vormt het permeaat van de GGI en bevat dus een laag gehalte methaan. Dit wordt ook wel methaanslip (met een 'p') genoemd. Het retentaat bestaat voornamelijk uit CH4. 
Wanneer een CVI in gebruik is, wordt het permeaatgas afgekoeld zodat de CO2 condenseert en vloeibaar wordt. Het eventueel aanwezige CH4 condenseert niet en wordt ook wel non-condensables genoemd. Dit gas wordt vaak teruggevoerd naar de slibgisting en komt dan in het biogas terecht. De methaanslip van een GGI-CVI-combinatie heeft door deze werkwijze een methaanslip van 0,01%. Concrete meetgegevens uit de praktijk ontbreken echter. Het betreft een aanname.</t>
        </r>
      </text>
    </comment>
    <comment ref="D101" authorId="1" shapeId="0" xr:uid="{00000000-0006-0000-0100-000011000000}">
      <text>
        <r>
          <rPr>
            <b/>
            <sz val="10"/>
            <color indexed="81"/>
            <rFont val="Calibri"/>
            <family val="2"/>
            <scheme val="minor"/>
          </rPr>
          <t xml:space="preserve">Joop Baltussen: </t>
        </r>
        <r>
          <rPr>
            <sz val="10"/>
            <color indexed="81"/>
            <rFont val="Calibri"/>
            <family val="2"/>
            <scheme val="minor"/>
          </rPr>
          <t xml:space="preserve">Met ingang van 2018 is besloten om niet meer inviduele CO-metingen te gebruiken om de emissie vast te stellen. Hierdoor komt in de plaats de collectieve emissiefactor van 9,65 g CO per Nm3 biogas. In 2024 is op basis van rookgasmeetrapporten een lagere CO-emissie vastgesteld. Met ingang van V2024 is om die reden de emissiefactor verlaagd naar 6,57 g/Nm3 biogas. </t>
        </r>
      </text>
    </comment>
    <comment ref="B141" authorId="0" shapeId="0" xr:uid="{1BA2BEB5-9B8D-4AC1-A870-2DAB88BD0A69}">
      <text>
        <r>
          <rPr>
            <b/>
            <sz val="10"/>
            <color indexed="81"/>
            <rFont val="Calibri"/>
            <family val="2"/>
            <scheme val="minor"/>
          </rPr>
          <t xml:space="preserve">Joop Baltussen: </t>
        </r>
        <r>
          <rPr>
            <sz val="10"/>
            <color indexed="81"/>
            <rFont val="Calibri"/>
            <family val="2"/>
            <scheme val="minor"/>
          </rPr>
          <t xml:space="preserve">De emissiefactor is 0,011 kg N2O-N/kg N. Deze factor is niet rechtstreeks afkomstig uit de 2019 Refinement IPCC maar uit afgeleide onderzoeken en literatuur: David de Haas, John Andrews, NITROUS OXIDE EMISSIONS FROM WASTEWATER TREATMENT - REVISITING THE IPCC 2019 REFINEMENT GUIDELINES, Environmental Challenges (2022). Omrekening naar N2O loopt via 44/28. De emissiefactor wordt dan 44/28*11 = 17,286 g N2O per kg Ntot aangevoerd met het influent.  </t>
        </r>
      </text>
    </comment>
    <comment ref="D160" authorId="0" shapeId="0" xr:uid="{6E45AD47-ABF3-4390-8EF0-FC7E97020EAC}">
      <text>
        <r>
          <rPr>
            <b/>
            <sz val="10"/>
            <color indexed="81"/>
            <rFont val="Calibri"/>
            <family val="2"/>
            <scheme val="minor"/>
          </rPr>
          <t>Joop Baltussen:</t>
        </r>
        <r>
          <rPr>
            <sz val="10"/>
            <color indexed="81"/>
            <rFont val="Calibri"/>
            <family val="2"/>
            <scheme val="minor"/>
          </rPr>
          <t xml:space="preserve">
Vóór 2024 was het verplicht voor zuiveringbeheerders de H2S-concentratie (ppm in biogas) in te voeren in de Rekentool. Deze waarde werd gebruikt om een emissiefactor voor SO2/SOx te berekenen. 
De in 2024 gereviewde 78 rookgasmeetrapporten bevatten 50 waarnemingen met betrekking tot SO2/SOx. Het rekenkundige gemiddelde SO2/SOX-gehalte in rookgassen is 0,51 ppm. Uit deze waarnemingen blijkt enerzijds dat zuiveringbeheerders het H2S-gehalte in biogas zeer goed onder controle hebben en dat de gemiddelde H2S-concentratie in biogas voortdurend zeer laag is. Anderzijds is het daarom niet meer nodig dat zuiveringbeheerders een H2S-gehalte invoeren en is de betreffende invoerregel verwijderd. 
Met behulp van de Calcomemis-4-6a spreadsheet is op basis van het gemiddelde SO2/SOX-gehalte een emissiefactor berekend van 0,014 g SO2 per Nm3 biogas. In deze Rekentool is deze waarde opgevoerd als 14 mg SOx/SO2 per Nm3 biogas. Het betreft dus een collectieve emissiefactor. </t>
        </r>
      </text>
    </comment>
    <comment ref="D186" authorId="0" shapeId="0" xr:uid="{C938F752-4BAE-4150-BEF6-F693A6F06AE0}">
      <text>
        <r>
          <rPr>
            <b/>
            <sz val="10"/>
            <color indexed="81"/>
            <rFont val="Tahoma"/>
            <family val="2"/>
          </rPr>
          <t>Joop Baltussen:</t>
        </r>
        <r>
          <rPr>
            <sz val="10"/>
            <color indexed="81"/>
            <rFont val="Tahoma"/>
            <family val="2"/>
          </rPr>
          <t xml:space="preserve">
Op basis van waarnemingen is vastgesteld dat rookgassen van drukgevulde verbrandingstoestellen gemiddeld 76 mg CH2O per m3 rookgas bevatten. Met behulp van de Calcomemis-tool is deze concentratie omgezet in een emissiefactor van 1,13 g CH2O per Nm3 biogas. De hier berekende waarden zijn informatief van aard en worden door zuiveringbeheerders nog niet in gevuld in het e-MJV. 
Het overnemen van formaldehyde rekenresultaten in het e-MJV wordt pas zinvol geacht als beschikt kan worden over een groot aantal waarnemingen (uit oogpunt van betrouwbaarheid). 
Bovendien dient de kwestie van formaldehyde eerst besproken te worden met het bevoegd gezag (het IPO/RUD-overleg) zodat deze haar instemming kan geven over de wijze waarop de emissiefactor is vastgesteld en de vracht wordt bepaald. Het rekenresultaat van de Rekentool vormt daarmee een indicatie voor de hoeveelheid formaldehyde die vanuit verbrandingsinstallatiues geëmitteerd wordt.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Joop</author>
    <author>Joop Baltussen</author>
  </authors>
  <commentList>
    <comment ref="J13" authorId="0" shapeId="0" xr:uid="{00000000-0006-0000-0200-000001000000}">
      <text>
        <r>
          <rPr>
            <b/>
            <sz val="9"/>
            <color indexed="81"/>
            <rFont val="Tahoma"/>
            <family val="2"/>
          </rPr>
          <t xml:space="preserve">Joop
</t>
        </r>
        <r>
          <rPr>
            <sz val="9"/>
            <color indexed="81"/>
            <rFont val="Tahoma"/>
            <family val="2"/>
          </rPr>
          <t xml:space="preserve">Post die betrekking heeft op de CO2 die uit het biogas is verwijderd en separaat gespuid wordt. </t>
        </r>
      </text>
    </comment>
    <comment ref="J14" authorId="1" shapeId="0" xr:uid="{B19A4F78-A91D-4BDB-842E-976CA94E83E6}">
      <text>
        <r>
          <rPr>
            <b/>
            <sz val="9"/>
            <color indexed="81"/>
            <rFont val="Tahoma"/>
            <family val="2"/>
          </rPr>
          <t>Joop Baltussen:</t>
        </r>
        <r>
          <rPr>
            <sz val="9"/>
            <color indexed="81"/>
            <rFont val="Tahoma"/>
            <family val="2"/>
          </rPr>
          <t xml:space="preserve">
Miv Rekentool 2025 (rappportagejaar 2024) is de hoeveelheid CO2 die separaat wordt afgezet in vloeibare vorm in mindering gebracht op het CO2-emissierekenresultaat van tabblad Rekentool luchtgerelateerde emissies.
Miv Rekentool 2025 (rapportagejeaar 2024) is de hoeveelheid CO2 die in vloeibare vorm wordt afgezet ook als minder post opgenomen in deze balans.</t>
        </r>
      </text>
    </comment>
    <comment ref="J15" authorId="0" shapeId="0" xr:uid="{00000000-0006-0000-0200-000002000000}">
      <text>
        <r>
          <rPr>
            <b/>
            <sz val="9"/>
            <color indexed="81"/>
            <rFont val="Tahoma"/>
            <family val="2"/>
          </rPr>
          <t xml:space="preserve">Joop
</t>
        </r>
        <r>
          <rPr>
            <sz val="9"/>
            <color indexed="81"/>
            <rFont val="Tahoma"/>
            <family val="2"/>
          </rPr>
          <t>Post die betrekking heeft op het CO2-aandeel van het doorgeleverde biogas. Deze wordt op de rwzi niet geëmitteerd.</t>
        </r>
      </text>
    </comment>
    <comment ref="K16" authorId="0" shapeId="0" xr:uid="{00000000-0006-0000-0200-000003000000}">
      <text>
        <r>
          <rPr>
            <b/>
            <sz val="9"/>
            <color indexed="81"/>
            <rFont val="Tahoma"/>
            <family val="2"/>
          </rPr>
          <t>Joop:</t>
        </r>
        <r>
          <rPr>
            <sz val="9"/>
            <color indexed="81"/>
            <rFont val="Tahoma"/>
            <family val="2"/>
          </rPr>
          <t xml:space="preserve">
default-waarde is '0'. Spui gas wordt direct geëmitteerd en niet verbrand.</t>
        </r>
      </text>
    </comment>
    <comment ref="K24" authorId="0" shapeId="0" xr:uid="{00000000-0006-0000-0200-000004000000}">
      <text>
        <r>
          <rPr>
            <b/>
            <sz val="9"/>
            <color indexed="81"/>
            <rFont val="Tahoma"/>
            <family val="2"/>
          </rPr>
          <t>Joop:</t>
        </r>
        <r>
          <rPr>
            <sz val="9"/>
            <color indexed="81"/>
            <rFont val="Tahoma"/>
            <family val="2"/>
          </rPr>
          <t xml:space="preserve">
het betreft het CO2-aandeel in biogas</t>
        </r>
      </text>
    </comment>
    <comment ref="K64" authorId="0" shapeId="0" xr:uid="{00000000-0006-0000-0200-000005000000}">
      <text>
        <r>
          <rPr>
            <b/>
            <sz val="9"/>
            <color indexed="81"/>
            <rFont val="Tahoma"/>
            <family val="2"/>
          </rPr>
          <t>Joop:</t>
        </r>
        <r>
          <rPr>
            <sz val="9"/>
            <color indexed="81"/>
            <rFont val="Tahoma"/>
            <family val="2"/>
          </rPr>
          <t xml:space="preserve">
Het CO2-aandeel van biogas heeft uiteraard geen CZV. Het is immers al geoxideerd.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Joop</author>
  </authors>
  <commentList>
    <comment ref="D17" authorId="0" shapeId="0" xr:uid="{D3AD27F7-980B-48D7-9774-3AB21CC21215}">
      <text>
        <r>
          <rPr>
            <b/>
            <sz val="9"/>
            <color indexed="81"/>
            <rFont val="Tahoma"/>
            <family val="2"/>
          </rPr>
          <t>Joop:</t>
        </r>
        <r>
          <rPr>
            <sz val="9"/>
            <color indexed="81"/>
            <rFont val="Tahoma"/>
            <family val="2"/>
          </rPr>
          <t xml:space="preserve">
het aandeel methaan in biogas ligt doorgaans tussen 55 - 65% volume procenten</t>
        </r>
      </text>
    </comment>
    <comment ref="B26" authorId="0" shapeId="0" xr:uid="{9BD57979-C4A2-405F-8AC6-1C514D3FF576}">
      <text>
        <r>
          <rPr>
            <b/>
            <sz val="9"/>
            <color indexed="81"/>
            <rFont val="Tahoma"/>
            <family val="2"/>
          </rPr>
          <t>Joop:</t>
        </r>
        <r>
          <rPr>
            <sz val="9"/>
            <color indexed="81"/>
            <rFont val="Tahoma"/>
            <family val="2"/>
          </rPr>
          <t xml:space="preserve">
Tgv verbranding wordt de CH4 omgezet in CO2. Omdat een fors deel van het biogas bestaat uit CO2 is het totaal dus hoger dan alleen het CO2-deel dat berekend kan worden uit het verbrande CH4.</t>
        </r>
      </text>
    </comment>
    <comment ref="B27" authorId="0" shapeId="0" xr:uid="{DF20C430-F2CD-4292-B051-F8DC4F6A26A1}">
      <text>
        <r>
          <rPr>
            <b/>
            <sz val="9"/>
            <color indexed="81"/>
            <rFont val="Tahoma"/>
            <family val="2"/>
          </rPr>
          <t>Joop:</t>
        </r>
        <r>
          <rPr>
            <sz val="9"/>
            <color indexed="81"/>
            <rFont val="Tahoma"/>
            <family val="2"/>
          </rPr>
          <t xml:space="preserve">
In de RVO-tabel is een CO2-emissiefactor opgenomen voor biogas. In de hier gegeven RVO CO2-emissiefactor is het aandeel CO2 en geconverteerde CH4-aandeel bij elkaar opgeteld. In de RVO-tabel 01-2024 is voor rwzi biogas een stookwaarde gegeven van 23,3 MJ/Nm3 en een CO2-emissiefactor van 84,2 kg CO2/GJ. Dit resulteert in 23,3*84,2 = 1.961,86 g CO2/Nm3 rwzi biogas. Het verschil bedraagt slechts 1,2 promille.</t>
        </r>
      </text>
    </comment>
  </commentList>
</comments>
</file>

<file path=xl/sharedStrings.xml><?xml version="1.0" encoding="utf-8"?>
<sst xmlns="http://schemas.openxmlformats.org/spreadsheetml/2006/main" count="900" uniqueCount="585">
  <si>
    <t>CAS- nr.</t>
  </si>
  <si>
    <t>Parcas</t>
  </si>
  <si>
    <t>stof</t>
  </si>
  <si>
    <t>kg/j</t>
  </si>
  <si>
    <t>330-54-1</t>
  </si>
  <si>
    <t>durn</t>
  </si>
  <si>
    <t>diuron</t>
  </si>
  <si>
    <t>sAOX</t>
  </si>
  <si>
    <t>AOX</t>
  </si>
  <si>
    <t>122-34-9</t>
  </si>
  <si>
    <t>simzne</t>
  </si>
  <si>
    <t>simazine</t>
  </si>
  <si>
    <t>gebromeerde difenylethers (PBDE)</t>
  </si>
  <si>
    <t>34123-59-6</t>
  </si>
  <si>
    <t>iptrn</t>
  </si>
  <si>
    <t>isoproturon</t>
  </si>
  <si>
    <t>CN</t>
  </si>
  <si>
    <t>cyaniden (als totaal CN)</t>
  </si>
  <si>
    <t>F</t>
  </si>
  <si>
    <t>fluoriden (als totaal F)</t>
  </si>
  <si>
    <t>IE150wb</t>
  </si>
  <si>
    <t>Berekende emissie adh van de emissiefactor</t>
  </si>
  <si>
    <t>Wat is de werkelijke belasting van de rwzi waarover u wilt rapporteren ??</t>
  </si>
  <si>
    <t>Rekenresultaat (in rood gekleurd veld) dat u dient te rapporteren in het e-MJV</t>
  </si>
  <si>
    <t xml:space="preserve">volgnr iPRTR </t>
  </si>
  <si>
    <t>waarde</t>
  </si>
  <si>
    <t>eenheid</t>
  </si>
  <si>
    <r>
      <t>IE</t>
    </r>
    <r>
      <rPr>
        <vertAlign val="subscript"/>
        <sz val="10"/>
        <rFont val="Calibri"/>
        <family val="2"/>
        <scheme val="minor"/>
      </rPr>
      <t>150wb</t>
    </r>
  </si>
  <si>
    <t>Is de emissie van de desbetreffende parameter met het effluent hoger dan de iPRTR-drempel ?</t>
  </si>
  <si>
    <t>kg CZV/j</t>
  </si>
  <si>
    <t>l/j</t>
  </si>
  <si>
    <t>Wat is de hoeveelheid aardgas die in de turbo en atmosferische WKK('s), CV en fakkel is verbrand ?</t>
  </si>
  <si>
    <t>Rekentool voor het berekenen van watergerelateerde emissies vanuit rwzi's met behulp van emissiefactoren.</t>
  </si>
  <si>
    <t>Wat is de werkelijke belasting in IE (à 150 g TZV) van de rwzi waarover u wilt rapporteren ?</t>
  </si>
  <si>
    <t>emissie vanuit de waterlijn</t>
  </si>
  <si>
    <t>emissie vanuit de sliblijn (slibindikkers, slibbuffers)</t>
  </si>
  <si>
    <t>emissie vanuit turbo gasmotoren</t>
  </si>
  <si>
    <t>emissie vanuit atmosferische gasmotoren, CV-ketel, fakkel (atmosferische verbrandingstoestellen)</t>
  </si>
  <si>
    <t>waterlijn</t>
  </si>
  <si>
    <t>turbo gasmotoren</t>
  </si>
  <si>
    <t>1.1 Emissiefactoren</t>
  </si>
  <si>
    <t>1.2 Emissies vanuit de inrichting</t>
  </si>
  <si>
    <t>totale emissie vanuit de gehele inrichting</t>
  </si>
  <si>
    <t>Emissieberekeningen</t>
  </si>
  <si>
    <t>rekenresultaat</t>
  </si>
  <si>
    <t>Is de emissie naar de lucht hoger dan de iPRTR-drempel ?
ja/nee</t>
  </si>
  <si>
    <t>2. Parameter CO [2]</t>
  </si>
  <si>
    <t>2.1 Emissiefactoren</t>
  </si>
  <si>
    <t>4. Parameter N2O (distikstofoxide) [5]</t>
  </si>
  <si>
    <t>4.1 Emissiefactor</t>
  </si>
  <si>
    <t>kg N2O per jaar</t>
  </si>
  <si>
    <t>kg CO per j</t>
  </si>
  <si>
    <t>kg CH4 per j</t>
  </si>
  <si>
    <t>5.1 Emissiefactoren</t>
  </si>
  <si>
    <t>emissie tgv verbranding van aardgas</t>
  </si>
  <si>
    <t>emissie tgv verbranding van biogas</t>
  </si>
  <si>
    <t>emissie tgv de verbranding van biogas</t>
  </si>
  <si>
    <t>emissie tgv de verbranding van aardgas</t>
  </si>
  <si>
    <t>kg (NOx/NO2) per jaar</t>
  </si>
  <si>
    <t>kg benzeen per jaar</t>
  </si>
  <si>
    <t>6.1 Emissiefactoren</t>
  </si>
  <si>
    <t>totale proces (biogene) emissie</t>
  </si>
  <si>
    <t>totale verbrandingsemissie</t>
  </si>
  <si>
    <t>atmosferische verbrandingstoestellen (zoals atmosferische gasmotoren, CV-ketel, fakkel)</t>
  </si>
  <si>
    <t>2.2 Verbrandingsemissies vanuit de inrichting</t>
  </si>
  <si>
    <t>Nm3/j</t>
  </si>
  <si>
    <t>5.2 Verbrandingsemissies vanuit de inrichting</t>
  </si>
  <si>
    <t>4.2 Proces (biogene) emissie vanuit de inrichting</t>
  </si>
  <si>
    <t>6.2 Verbrandingsemissie vanuit de inrichting</t>
  </si>
  <si>
    <t>kg SOx/SO2 per jaar</t>
  </si>
  <si>
    <t>7.1 Emissiefactoren</t>
  </si>
  <si>
    <t>1.1 Wat is de werkelijke belasting in IE (à 150 g TZV) van de rwzi waarover u wilt rapporteren ?</t>
  </si>
  <si>
    <t>1.2</t>
  </si>
  <si>
    <t>1.2.1</t>
  </si>
  <si>
    <t>1.2.2</t>
  </si>
  <si>
    <t>1.2.3</t>
  </si>
  <si>
    <t>Berekening van de hoeveelheid CZV die jaarlijks aan de waterlijn wordt toegevoerd</t>
  </si>
  <si>
    <t>1.2.4</t>
  </si>
  <si>
    <t>Wat is de hoeveelheid CZV die jaarlijks vanuit het influent aan de waterlijn wordt toegevoerd ?</t>
  </si>
  <si>
    <t>1.2.5</t>
  </si>
  <si>
    <t>2.1</t>
  </si>
  <si>
    <t>2.2</t>
  </si>
  <si>
    <t>3.1</t>
  </si>
  <si>
    <t>3.2</t>
  </si>
  <si>
    <t>3.3</t>
  </si>
  <si>
    <t>3.5</t>
  </si>
  <si>
    <t>CZV-vracht aangevoerd in de waterlijn</t>
  </si>
  <si>
    <t>1. Waterlijn (aan- en afvoer)</t>
  </si>
  <si>
    <t>2. Sliblijn (aan- en afvoer)</t>
  </si>
  <si>
    <t>Wat is de CZV-waarde van de C-bron (in kg CZV per kg 100%-ige C-bron) ?</t>
  </si>
  <si>
    <t>omzetting van CZV naar CO2 via een biogeen proces</t>
  </si>
  <si>
    <t>kg CO2 per kg CZV</t>
  </si>
  <si>
    <t>omzetting van organische drogestof naar CZV via een biogeen proces</t>
  </si>
  <si>
    <t>kg CZV per kg organische drogestof</t>
  </si>
  <si>
    <t>3.6</t>
  </si>
  <si>
    <t>beschrijving/eenheid</t>
  </si>
  <si>
    <t>Slib CZV-vracht per as rechtstreeks aangevoerd in de sliblijn</t>
  </si>
  <si>
    <t>verbrandings CO2-emissie aardgas</t>
  </si>
  <si>
    <t>onderwerp</t>
  </si>
  <si>
    <t>Rekentool voor het berekenen van luchtgerelateerde emissies vanuit rwzi's met behulp van emissiefactoren</t>
  </si>
  <si>
    <t>diesel / HBO</t>
  </si>
  <si>
    <t>CZV-waarde van methaan</t>
  </si>
  <si>
    <t>kg O2 per kg CH4</t>
  </si>
  <si>
    <t>soortelijk gewicht diesel of HBO in kg/l</t>
  </si>
  <si>
    <t>CO2-productie bij de verbranding van methaan</t>
  </si>
  <si>
    <t>kg CO2 per kg CH4</t>
  </si>
  <si>
    <t>effluent</t>
  </si>
  <si>
    <t>Conversiefactoren en begrippen</t>
  </si>
  <si>
    <t>emissies vanuit gespuid biogas (zonder fakkelverbranding)</t>
  </si>
  <si>
    <t>influent</t>
  </si>
  <si>
    <t>per as aangevoerd slib in de waterlijn</t>
  </si>
  <si>
    <t>per as aangevoerd afvalwater in de waterlijn</t>
  </si>
  <si>
    <t>gedoseerde C-bron in de waterlijn</t>
  </si>
  <si>
    <t>kg CO2/j</t>
  </si>
  <si>
    <t>3. Parameter: CO2 [3]</t>
  </si>
  <si>
    <t>bijlage 1.3</t>
  </si>
  <si>
    <t>Totale hoeveelheid langcyclische (fossiele brandstoffen) CO2 geëmitteerd vanuit de rwzi</t>
  </si>
  <si>
    <t>3.4</t>
  </si>
  <si>
    <t>Aanvoer</t>
  </si>
  <si>
    <t>CZV-vracht</t>
  </si>
  <si>
    <t>in kg/j</t>
  </si>
  <si>
    <t>influent:</t>
  </si>
  <si>
    <t>afvalwater per as:</t>
  </si>
  <si>
    <t>slib per as:</t>
  </si>
  <si>
    <t>C-bron verbruikt:</t>
  </si>
  <si>
    <t>Afvoer</t>
  </si>
  <si>
    <t>CO2-vracht</t>
  </si>
  <si>
    <t>CH4-vracht</t>
  </si>
  <si>
    <t>Totaal:</t>
  </si>
  <si>
    <t>Emissies vanuit de sliblijn:</t>
  </si>
  <si>
    <t>Emissies vanuit de waterlijn:</t>
  </si>
  <si>
    <t>turbo WKK's</t>
  </si>
  <si>
    <t>groen gas</t>
  </si>
  <si>
    <t>spui biogas</t>
  </si>
  <si>
    <t>afvalwater/slib per as:</t>
  </si>
  <si>
    <t>Emissies/afvoer vanuit de biogaslijn:</t>
  </si>
  <si>
    <t>Biogas</t>
  </si>
  <si>
    <t>Bron</t>
  </si>
  <si>
    <t>CH4-aandeel in biogas in g CH4/Nm3 biogas</t>
  </si>
  <si>
    <t>g CH4 per Nm3 biogas, verbrand in een turbo gasmotor</t>
  </si>
  <si>
    <t>g CH4 per Nm3 biogas, verbrand in atmosferische gasmotor, CV-ketel, fakkel</t>
  </si>
  <si>
    <t>g CH4 per Nm3 biogas, rechtstreeks gespuid zonder verbranding</t>
  </si>
  <si>
    <t>g CO per Nm3 biogas</t>
  </si>
  <si>
    <t>g (NOx/NO2) per Nm3 biogas</t>
  </si>
  <si>
    <t>mg SOx/SO2 per Nm3 biogas</t>
  </si>
  <si>
    <t>CO2-aandeel in biogas in g CO2/Nm3 biogas</t>
  </si>
  <si>
    <t>biogas dat is gespuid en/of als groen gas is afgevoerd</t>
  </si>
  <si>
    <t>1.3 Emissie uitgesplitst naar proces (biogene) en verbrandingsemissie (de CH4 die met groen gas wordt afgevoerd, is niet in deze paragraaf verdisconteerd)</t>
  </si>
  <si>
    <t>CZV-in (kg/j)</t>
  </si>
  <si>
    <t>CZV-uit (kg/j)</t>
  </si>
  <si>
    <t>CZV-vracht (kg/j)</t>
  </si>
  <si>
    <t>Gesaldeerde vracht</t>
  </si>
  <si>
    <t>kg ods/j</t>
  </si>
  <si>
    <t xml:space="preserve">per as aangevoerd afvalwater/slib in de sliblijn </t>
  </si>
  <si>
    <t>Waterlijn 'in'</t>
  </si>
  <si>
    <t>Waterlijn 'uit'</t>
  </si>
  <si>
    <r>
      <t xml:space="preserve">3.5 Bepaling CO2-emissie onderscheiden in proces en verbrandings-CO2, zoals </t>
    </r>
    <r>
      <rPr>
        <b/>
        <u/>
        <sz val="10"/>
        <rFont val="Calibri"/>
        <family val="2"/>
        <scheme val="minor"/>
      </rPr>
      <t>gedefinieerd door het e-MJV</t>
    </r>
  </si>
  <si>
    <t>totale CO2-emissie</t>
  </si>
  <si>
    <t>uitgedrukt in mg S/Nm3 biogas</t>
  </si>
  <si>
    <t>C-bron gedoseerd:</t>
  </si>
  <si>
    <t>effluent:</t>
  </si>
  <si>
    <t>kg tolueen per jaar</t>
  </si>
  <si>
    <t>3.7</t>
  </si>
  <si>
    <t>g (NOx/NO2) per Nm3 ae aardgas</t>
  </si>
  <si>
    <t>emissie tgv verbranding van diesel</t>
  </si>
  <si>
    <t>g (NOx/NO2) per liter diesel</t>
  </si>
  <si>
    <t>emissie tgv de verbranding van diesel</t>
  </si>
  <si>
    <r>
      <t>Geschematiseerde balans (</t>
    </r>
    <r>
      <rPr>
        <b/>
        <sz val="14"/>
        <color rgb="FFFF0000"/>
        <rFont val="Calibri"/>
        <family val="2"/>
        <scheme val="minor"/>
      </rPr>
      <t>aardgas</t>
    </r>
    <r>
      <rPr>
        <b/>
        <sz val="14"/>
        <rFont val="Calibri"/>
        <family val="2"/>
        <scheme val="minor"/>
      </rPr>
      <t xml:space="preserve"> en </t>
    </r>
    <r>
      <rPr>
        <b/>
        <sz val="14"/>
        <color rgb="FFFF0000"/>
        <rFont val="Calibri"/>
        <family val="2"/>
        <scheme val="minor"/>
      </rPr>
      <t>diesel</t>
    </r>
    <r>
      <rPr>
        <b/>
        <sz val="14"/>
        <rFont val="Calibri"/>
        <family val="2"/>
        <scheme val="minor"/>
      </rPr>
      <t xml:space="preserve"> maken van deze balans geen deel uit)</t>
    </r>
  </si>
  <si>
    <t>STOWA 2014-09</t>
  </si>
  <si>
    <t>drukgevulde en atmosferisch dieselgestookte verbrandingstoestellen</t>
  </si>
  <si>
    <t>g CO per liter diesel</t>
  </si>
  <si>
    <t>g SOx/SO2 per GJ brandstof (diesel of aardgas)</t>
  </si>
  <si>
    <t>emissie vanuit drukgevulde en atmosferische verbrandingstoestellen gestookt met diesel</t>
  </si>
  <si>
    <t>CO2-emissie door verbranding van aardgas en diesel</t>
  </si>
  <si>
    <t>Water- en sliblijn 'in'</t>
  </si>
  <si>
    <t>Subtotaal 'aangevoerd op de rwzi'</t>
  </si>
  <si>
    <t>Water- en sliblijn 'uit'</t>
  </si>
  <si>
    <t>Subtotaal 'afgevoerd vanuit de rwzi'</t>
  </si>
  <si>
    <t>Het verschil tussen de posten 'In' en 'Uit' bedraagt:</t>
  </si>
  <si>
    <t>emissie vanuit biogas gestookte turbo gasmotoren</t>
  </si>
  <si>
    <t>emissie vanuit biogas gestookte atmosferische gasmotoren, CV-ketel, fakkel (atmosferische verbrandingstoestellen)</t>
  </si>
  <si>
    <t>Bepaal de hoeveelheid C-bron die in het kalenderjaar aan de rwzi is gedoseerd. Ga daarbij uit van 100%-ige C-bron (in kg 100%-ige C-bron). In bijlage 3.2 van STOWA-rapport 2014-09 zijn in een tabel de CZV-waarden en CO2-emissiefactoren van typische C-bronnen gegeven).</t>
  </si>
  <si>
    <t>CO2-emissiefactor van eventueel toegepaste C-bron</t>
  </si>
  <si>
    <t>kg CO2 per kg 100% C-bron</t>
  </si>
  <si>
    <t>bijlage 3.2</t>
  </si>
  <si>
    <t>CO2-aandeel van het geproduceerde biogas</t>
  </si>
  <si>
    <t>CH4-aandeel van het geproduceerde biogas</t>
  </si>
  <si>
    <t>Op basis van de voorgaande informatie kan een CZV-balans van de waterlijn van de rwzi worden opgesteld:</t>
  </si>
  <si>
    <t>mits deze niet verdisconteerd is in de influentbemonstering</t>
  </si>
  <si>
    <t>Subtotaal 'aangevoerd naar de waterlijn'</t>
  </si>
  <si>
    <t>CZV-vracht die aeroob gedissimileerd is</t>
  </si>
  <si>
    <t>CO2-balans over de water- en sliblijn</t>
  </si>
  <si>
    <t>Dit bedrag bestaat uit de volgende posten:</t>
  </si>
  <si>
    <t>CZV-vracht 
in kg O2/j</t>
  </si>
  <si>
    <t>CO2-equivalenten 
in kg CO2/j</t>
  </si>
  <si>
    <t>CZV-balans over de waterlijn</t>
  </si>
  <si>
    <r>
      <rPr>
        <i/>
        <sz val="11"/>
        <rFont val="Calibri"/>
        <family val="2"/>
        <scheme val="minor"/>
      </rPr>
      <t>gesaldeerde</t>
    </r>
    <r>
      <rPr>
        <sz val="11"/>
        <rFont val="Calibri"/>
        <family val="2"/>
        <scheme val="minor"/>
      </rPr>
      <t xml:space="preserve"> post die bestaat uit CZV-vracht die vanuit de waterlijn naar de sliblijn is afgevoerd</t>
    </r>
  </si>
  <si>
    <t>CZV-balans (over de waterlijn)</t>
  </si>
  <si>
    <t>CZV, gedissimileerd in de waterlijn (gesaldeerd):</t>
  </si>
  <si>
    <t>CZV-vracht aeroob gedissimileerd in de waterlijn</t>
  </si>
  <si>
    <t>CH4-vracht (betreft onverbrand CH4)</t>
  </si>
  <si>
    <t>in kg CO2/j</t>
  </si>
  <si>
    <t>in kg CZV/j</t>
  </si>
  <si>
    <t>in kg CH4/j</t>
  </si>
  <si>
    <t>g CO per Nm3 aardgas</t>
  </si>
  <si>
    <t>emissie vanuit gasverbrandingstoestellen gestookt met aardgas</t>
  </si>
  <si>
    <t>CZV afgevoerd naar de sliblijn:</t>
  </si>
  <si>
    <t>verbrandingstoestellen gestookt met aardgas</t>
  </si>
  <si>
    <t>verbrandingstoestellen gestookt met diesel</t>
  </si>
  <si>
    <t>g CH4 per l diesel verbrand</t>
  </si>
  <si>
    <t>g totaal VOS per l diesel verbrand</t>
  </si>
  <si>
    <t>emissies vanuit verbrandingstoestellen met aardgas gestookt</t>
  </si>
  <si>
    <t>emissies vanuit verbrandingstoestellen met diesel gestookt</t>
  </si>
  <si>
    <t>aardgas gasverbrandingstoestellen</t>
  </si>
  <si>
    <t>Methaan (CH4 [1])</t>
  </si>
  <si>
    <t>Totaal koolwaterstoffen geëmitteerd met de verbranding van aardgas</t>
  </si>
  <si>
    <t>Totaal koolwaterstoffen geëmitteerd met de verbranding van diesel</t>
  </si>
  <si>
    <t xml:space="preserve">Totaal koolwaterstoffen </t>
  </si>
  <si>
    <t>Wat is de (gewogen) gloeirest van de drogestof (in %) ?</t>
  </si>
  <si>
    <r>
      <t xml:space="preserve">Wat is de hoeveelheid slib die is </t>
    </r>
    <r>
      <rPr>
        <u/>
        <sz val="10"/>
        <rFont val="Calibri"/>
        <family val="2"/>
        <scheme val="minor"/>
      </rPr>
      <t>afgevoerd</t>
    </r>
    <r>
      <rPr>
        <sz val="10"/>
        <rFont val="Calibri"/>
        <family val="2"/>
        <scheme val="minor"/>
      </rPr>
      <t xml:space="preserve"> vanuit de sliblijn (in ton drogestof per jaar) ? Dit slib kan bestaan uit al dan niet vergist slib, extern slib dat al dan niet mee-vergist is en/of slib dat na ontwatering is afgevoerd.</t>
    </r>
  </si>
  <si>
    <t>Nm3 ae/j</t>
  </si>
  <si>
    <t>Versiebeheer</t>
  </si>
  <si>
    <t>datum</t>
  </si>
  <si>
    <t>naam</t>
  </si>
  <si>
    <t>J. Baltussen</t>
  </si>
  <si>
    <t>wijziging</t>
  </si>
  <si>
    <t>origineel</t>
  </si>
  <si>
    <r>
      <t xml:space="preserve">Wat is de hoeveelheid drogestof die met </t>
    </r>
    <r>
      <rPr>
        <u/>
        <sz val="10"/>
        <rFont val="Calibri"/>
        <family val="2"/>
        <scheme val="minor"/>
      </rPr>
      <t>per as aangevoerd extern afvalwater</t>
    </r>
    <r>
      <rPr>
        <sz val="10"/>
        <rFont val="Calibri"/>
        <family val="2"/>
        <scheme val="minor"/>
      </rPr>
      <t xml:space="preserve"> wordt aangevoerd in de waterlijn ? Geef de hoeveelheid op als </t>
    </r>
    <r>
      <rPr>
        <b/>
        <sz val="10"/>
        <rFont val="Calibri"/>
        <family val="2"/>
        <scheme val="minor"/>
      </rPr>
      <t>tonnen drogestof</t>
    </r>
    <r>
      <rPr>
        <sz val="10"/>
        <rFont val="Calibri"/>
        <family val="2"/>
        <scheme val="minor"/>
      </rPr>
      <t xml:space="preserve"> die met het per as aangevoerd externe afvalwater wordt aangevoerd (</t>
    </r>
    <r>
      <rPr>
        <b/>
        <sz val="10"/>
        <rFont val="Calibri"/>
        <family val="2"/>
        <scheme val="minor"/>
      </rPr>
      <t>ton drogestof per jaar</t>
    </r>
    <r>
      <rPr>
        <sz val="10"/>
        <rFont val="Calibri"/>
        <family val="2"/>
        <scheme val="minor"/>
      </rPr>
      <t>).</t>
    </r>
  </si>
  <si>
    <r>
      <t xml:space="preserve">Wat is de hoeveelheid drogestof die met </t>
    </r>
    <r>
      <rPr>
        <u/>
        <sz val="10"/>
        <rFont val="Calibri"/>
        <family val="2"/>
        <scheme val="minor"/>
      </rPr>
      <t>per as aangevoerd extern aangevoerd slib en/of afvalwater</t>
    </r>
    <r>
      <rPr>
        <sz val="10"/>
        <rFont val="Calibri"/>
        <family val="2"/>
        <scheme val="minor"/>
      </rPr>
      <t xml:space="preserve"> wordt aangevoerd in de sliblijn ? Geef de hoeveelheid op als </t>
    </r>
    <r>
      <rPr>
        <b/>
        <sz val="10"/>
        <rFont val="Calibri"/>
        <family val="2"/>
        <scheme val="minor"/>
      </rPr>
      <t>tonnen slibdrogestof</t>
    </r>
    <r>
      <rPr>
        <sz val="10"/>
        <rFont val="Calibri"/>
        <family val="2"/>
        <scheme val="minor"/>
      </rPr>
      <t xml:space="preserve"> per jaar.</t>
    </r>
  </si>
  <si>
    <r>
      <t xml:space="preserve">1. Parameter: CH4 [1] </t>
    </r>
    <r>
      <rPr>
        <b/>
        <sz val="10"/>
        <color rgb="FFFF0000"/>
        <rFont val="Calibri"/>
        <family val="2"/>
        <scheme val="minor"/>
      </rPr>
      <t>(inclusief parameter totaal-VOS)</t>
    </r>
  </si>
  <si>
    <t>formule aangepast; in tabblad 'Rekentool luchtgerel. Em' is de formule in cel D71 aangepast; verwijzing naar L83 is veranderd in K83</t>
  </si>
  <si>
    <t>Aanpassing titel in Colofon</t>
  </si>
  <si>
    <t>Factor in cel D137 in tabblad 'Rekentool luchtgerelateerde Em' is aangepast van 1.000.000 naar 1.000.</t>
  </si>
  <si>
    <t>Rekenresultaat (in rood gekleurd veld) dat u dient te rapporteren in het 
e-MJV in kg/j</t>
  </si>
  <si>
    <t>volume-omzetting van m3 biogas als zodanig naar Nm3 biogas</t>
  </si>
  <si>
    <t>Biogashoeveelheden kunnen gemeten worden op verschillende manieren.</t>
  </si>
  <si>
    <t>Ook de daarbij ingezette meet- en regelapparatuur is geavanceerder.</t>
  </si>
  <si>
    <t xml:space="preserve">De normaal kubieke meter of standaard kubieke meter is niet eenduidig gedefinieerd. Er worden verschillende waarden voor de standaarddruk en de standaardtemperatuur gebruikt. Dit kan per discipline, bijvoorbeeld luchtbehandeling, compressorindustrie, chemie, olie- en gasindustrie verschillen. </t>
  </si>
  <si>
    <r>
      <t xml:space="preserve">Met andere woorden er werd vanuit gegaan dat 1 m3 a.z. tot stand kwam bij een druk van 35 cmWK en 298 </t>
    </r>
    <r>
      <rPr>
        <vertAlign val="superscript"/>
        <sz val="11"/>
        <rFont val="Calibri"/>
        <family val="2"/>
        <scheme val="minor"/>
      </rPr>
      <t>o</t>
    </r>
    <r>
      <rPr>
        <sz val="11"/>
        <rFont val="Calibri"/>
        <family val="2"/>
        <scheme val="minor"/>
      </rPr>
      <t xml:space="preserve">K (is 25 </t>
    </r>
    <r>
      <rPr>
        <vertAlign val="superscript"/>
        <sz val="11"/>
        <rFont val="Calibri"/>
        <family val="2"/>
        <scheme val="minor"/>
      </rPr>
      <t>o</t>
    </r>
    <r>
      <rPr>
        <sz val="11"/>
        <rFont val="Calibri"/>
        <family val="2"/>
        <scheme val="minor"/>
      </rPr>
      <t>C).</t>
    </r>
  </si>
  <si>
    <t>Temperatuurcorrectie</t>
  </si>
  <si>
    <t>Drukcorrectie</t>
  </si>
  <si>
    <t>Gasdruk in cmWK</t>
  </si>
  <si>
    <t>Druk in baro (relatief)</t>
  </si>
  <si>
    <t>Druk in bara (relatief)</t>
  </si>
  <si>
    <t>Correctiefactor tov 1,01324 bar</t>
  </si>
  <si>
    <r>
      <t xml:space="preserve">·         Nm3 biogas: de hoeveelheid gas die, bij een temperatuur van nul graden Celsius (273,15 </t>
    </r>
    <r>
      <rPr>
        <vertAlign val="superscript"/>
        <sz val="11"/>
        <rFont val="Calibri"/>
        <family val="2"/>
        <scheme val="minor"/>
      </rPr>
      <t>o</t>
    </r>
    <r>
      <rPr>
        <sz val="11"/>
        <rFont val="Calibri"/>
        <family val="2"/>
        <scheme val="minor"/>
      </rPr>
      <t>K) en onder absolute druk van 1,01325 bar, een volume van één kubieke meter inneemt;</t>
    </r>
  </si>
  <si>
    <r>
      <t xml:space="preserve">·         Nm3 aardgas equivalent of Nm3 ae: de hoeveelheid gas die, bij een temperatuur van 15 graden Celsius (288,15 </t>
    </r>
    <r>
      <rPr>
        <vertAlign val="superscript"/>
        <sz val="11"/>
        <rFont val="Calibri"/>
        <family val="2"/>
        <scheme val="minor"/>
      </rPr>
      <t>o</t>
    </r>
    <r>
      <rPr>
        <sz val="11"/>
        <rFont val="Calibri"/>
        <family val="2"/>
        <scheme val="minor"/>
      </rPr>
      <t>K) en onder absolute druk van 1,01325 bar, een volume van één kubieke meter inneemt.</t>
    </r>
  </si>
  <si>
    <t>m3</t>
  </si>
  <si>
    <t>Nm3</t>
  </si>
  <si>
    <t>Formules:</t>
  </si>
  <si>
    <t>P/T = constant, waarbij P de druk is van het gas en T de absolute temperatuur van het gas</t>
  </si>
  <si>
    <t>p*V = n*R*T</t>
  </si>
  <si>
    <t>n de hoeveelheid gas in mol (= aantal moleculen gedeeld door de constante van Avogadro)</t>
  </si>
  <si>
    <t>p de druk is in Pa (N/m2)</t>
  </si>
  <si>
    <t>V het volume is in m3</t>
  </si>
  <si>
    <t>R de gasconstante is (8,314462 J·K−1mol−1)</t>
  </si>
  <si>
    <t>T is de absolute temperatuur in K</t>
  </si>
  <si>
    <t>De conversieberekening van m3 a.z. (als zodanig) naar Nm3 loopt als volgt:</t>
  </si>
  <si>
    <t>Bronnen:</t>
  </si>
  <si>
    <t>*</t>
  </si>
  <si>
    <r>
      <t xml:space="preserve">Correctiefactor tov 0  </t>
    </r>
    <r>
      <rPr>
        <b/>
        <vertAlign val="superscript"/>
        <sz val="10"/>
        <rFont val="Calibri"/>
        <family val="2"/>
      </rPr>
      <t>o</t>
    </r>
    <r>
      <rPr>
        <b/>
        <sz val="10"/>
        <rFont val="Calibri"/>
        <family val="2"/>
      </rPr>
      <t>C</t>
    </r>
  </si>
  <si>
    <t xml:space="preserve"> </t>
  </si>
  <si>
    <t>g totaal VOS per Nm3 ae aardgas verbrand</t>
  </si>
  <si>
    <t>g CH4 per Nm3 ae aardgas verbrand</t>
  </si>
  <si>
    <t>temperatuur van het biogas</t>
  </si>
  <si>
    <t xml:space="preserve">druk van het biogas </t>
  </si>
  <si>
    <t>graden Celsius</t>
  </si>
  <si>
    <t>Toelichting</t>
  </si>
  <si>
    <t xml:space="preserve">Steeds meer waterschappen laten het slib (al dan niet aangevuld met afvalstoffen van derden) vergisten in energiefabrieken. Het gaat daarbij om grote vergisters met geavanceerde en grotere WKK's. </t>
  </si>
  <si>
    <t>Nm3 en Nm3 a.e.: wat is het verschil?</t>
  </si>
  <si>
    <t>Een uitwerking van de conversie berekening van gemeten m3 biogas naar Nm3 biogas is in bijlage 1.2 van STOWA-rapport 2014-09 weergegeven.</t>
  </si>
  <si>
    <t>- Wikipedia</t>
  </si>
  <si>
    <t>Vul hier het aantal m3 biogas in met de bijbehorende temperatuur en druk in, waarvan u de Nm3-hoeveelheid wilt bepalen:</t>
  </si>
  <si>
    <t>Biogashoeveelheden omzetten van m3 naar Nm3 (conform bijlage 1.2 van STOWA-rapport 2014-09)</t>
  </si>
  <si>
    <t>In geavanceerde gasdebietmeters wordt naast het volume ook de gastemperatuur en de gasdruk gemeten. Deze waarden worden vervolgens gebruikt om het gemeten volume om te zetten van 'm3 a.z.' naar 'Nm3'.</t>
  </si>
  <si>
    <t>In zogenaamde 'niet converterende' gasmeters wordt de hoeveelheid gemeten in 'm3 a.z.' (als zodanig), zonder rekening te houden met de temperatuur en druk van het biogas.</t>
  </si>
  <si>
    <r>
      <t xml:space="preserve">In de vorige versies van de Rekentool werd gerekend met standaard condities dat wil zeggen een biogastemperatuur van 25 </t>
    </r>
    <r>
      <rPr>
        <vertAlign val="superscript"/>
        <sz val="11"/>
        <rFont val="Calibri"/>
        <family val="2"/>
        <scheme val="minor"/>
      </rPr>
      <t>o</t>
    </r>
    <r>
      <rPr>
        <sz val="11"/>
        <rFont val="Calibri"/>
        <family val="2"/>
        <scheme val="minor"/>
      </rPr>
      <t>C en een druk van 35 cmWK (centimeter Waterkolom).</t>
    </r>
  </si>
  <si>
    <t>V/T = constant, waarbij V het volume betekent en T de absolute temperatuur van het gas</t>
  </si>
  <si>
    <r>
      <t xml:space="preserve">uitzettings-factor tov 0 </t>
    </r>
    <r>
      <rPr>
        <b/>
        <vertAlign val="superscript"/>
        <sz val="10"/>
        <rFont val="Calibri"/>
        <family val="2"/>
      </rPr>
      <t>o</t>
    </r>
    <r>
      <rPr>
        <b/>
        <sz val="10"/>
        <rFont val="Calibri"/>
        <family val="2"/>
      </rPr>
      <t>C</t>
    </r>
  </si>
  <si>
    <t>Samenstelling biogas</t>
  </si>
  <si>
    <t>In dit tabblad worden specifieke gegevens berekend voor het biogas op basis van een variabel gehalte methaan.</t>
  </si>
  <si>
    <t>Aandeel methaan</t>
  </si>
  <si>
    <t>vol%</t>
  </si>
  <si>
    <t>Aandeel CO2</t>
  </si>
  <si>
    <t>g/Nm3</t>
  </si>
  <si>
    <t>Gewicht biogas</t>
  </si>
  <si>
    <t>CZV-waarde biogas</t>
  </si>
  <si>
    <t>g O2/Nm3</t>
  </si>
  <si>
    <t>CO2-equivalenten biogas na verbranding</t>
  </si>
  <si>
    <t>g CO2/Nm3</t>
  </si>
  <si>
    <t>Ter vergelijking: CO2-equivalent uit RVO-tabel</t>
  </si>
  <si>
    <t>gewicht biogas in g/Nm3</t>
  </si>
  <si>
    <t>CZV-waarde biogas in gO2/Nm3</t>
  </si>
  <si>
    <t>%</t>
  </si>
  <si>
    <t>betreft het reeds aanwezige CO2-deel van het biogas</t>
  </si>
  <si>
    <t>CO2-productie tgv verbranding</t>
  </si>
  <si>
    <t>Wat is hoeveelheid CZV die jaarlijks met het effluent wordt afgevoerd uit de waterlijn (het betreft de feitelijke lozing op oppervlaktewater).</t>
  </si>
  <si>
    <t>Totale hoeveelheid biogas dat geproduceerd is op de rwzi</t>
  </si>
  <si>
    <t xml:space="preserve">Biogas van vergisting 1 </t>
  </si>
  <si>
    <t>Biogasproductie</t>
  </si>
  <si>
    <t>Biogas van vergisting 2</t>
  </si>
  <si>
    <t>Biogas van vergisting 3</t>
  </si>
  <si>
    <t>CH4-productie</t>
  </si>
  <si>
    <t>Gewogen gemiddeld CH4-gehalte</t>
  </si>
  <si>
    <t>Gewogen gemiddeld CO2-gehalte</t>
  </si>
  <si>
    <t>CO2-productie (CO2-aandeel onverbrand biogas)</t>
  </si>
  <si>
    <t>tabblad 'Biogassamenstelling'</t>
  </si>
  <si>
    <t>per as afgevoerd slib uit de sliblijn (met of zonder toepassing van vergisting en/of ontwatering)</t>
  </si>
  <si>
    <r>
      <rPr>
        <vertAlign val="superscript"/>
        <sz val="11"/>
        <rFont val="Calibri"/>
        <family val="2"/>
        <scheme val="minor"/>
      </rPr>
      <t>o</t>
    </r>
    <r>
      <rPr>
        <sz val="11"/>
        <rFont val="Calibri"/>
        <family val="2"/>
        <scheme val="minor"/>
      </rPr>
      <t>C</t>
    </r>
  </si>
  <si>
    <r>
      <t>normaalkuub; het volume van één kuub bij een druk van 1 bar of 1 atmosfeer oftewel 101.325 N/m2 en bij een temperatuur van 273,15</t>
    </r>
    <r>
      <rPr>
        <vertAlign val="superscript"/>
        <sz val="11"/>
        <rFont val="Calibri"/>
        <family val="2"/>
        <scheme val="minor"/>
      </rPr>
      <t>o</t>
    </r>
    <r>
      <rPr>
        <sz val="11"/>
        <rFont val="Calibri"/>
        <family val="2"/>
        <scheme val="minor"/>
      </rPr>
      <t>K. Met deze rekenwaarde vermenigvuldigt u de hoeveelheid biogas die u wilt omzetten van m3 a.z. naar Nm3. Het rekenresultaat daarvan is de hoeveelheid biogas in Nm3 en gebruikt u in het tabblad 'Rekentool luchtgerelateerde Em'</t>
    </r>
  </si>
  <si>
    <t>aantal m3 a.z.</t>
  </si>
  <si>
    <t>de hoeveelheid biogas in m3 als zodanig waarvan u de druk en temepratuur weet en waarvan u wilt weten de hoeveelheid Nm3</t>
  </si>
  <si>
    <t>Hoe dit tabblad te gebruiken?</t>
  </si>
  <si>
    <t>De velden/cellen die u in mag vullen zijn vanillegeel gemaakt. Er wordt vanuit gegaan dat het biogas geen andere componenten bevat zoals waterdamp, waterstof, H2S en/of alkanen.</t>
  </si>
  <si>
    <t>CH4-emissie vanuit de rwzi</t>
  </si>
  <si>
    <t>CH4 overgebracht naar derden</t>
  </si>
  <si>
    <t>Subtotaal 'afgevoerd vanuit de waterlijn' (naar de compartimenten effluent, sliblijn en lucht)</t>
  </si>
  <si>
    <t>biogene oftewel proces CO2-emissie vanuit de waterlijn (ontleend aan de CO2/CZV-balans)</t>
  </si>
  <si>
    <t>Equivalent CO2-gehalte van het  biogas in g CO2/Nm3</t>
  </si>
  <si>
    <t>Onder 1. kunt u berekenen en zien wat de consequentie is wanneer het CH4-gehalte in het biogas wijzigt. De CZV-waarde en het gewicht van het biogas 'bewegen' dan mee in de geprojecteerde grafiek.</t>
  </si>
  <si>
    <r>
      <t xml:space="preserve">De berekeningen zijn toereikend voor 4 biogasstraten. Ook deze rekenresultaten worden </t>
    </r>
    <r>
      <rPr>
        <u/>
        <sz val="11"/>
        <rFont val="Calibri"/>
        <family val="2"/>
        <scheme val="minor"/>
      </rPr>
      <t xml:space="preserve">niet </t>
    </r>
    <r>
      <rPr>
        <sz val="11"/>
        <rFont val="Calibri"/>
        <family val="2"/>
        <scheme val="minor"/>
      </rPr>
      <t>automatisch overgezet naar het tabblad 'Rekentool luchtgerelateerde Em'. Dat dient u dus zelf te doen.</t>
    </r>
  </si>
  <si>
    <t>Gegevens van het gemengde biogas: oftewel de berekende gewogen samenstelling is hieronder weergegeven.</t>
  </si>
  <si>
    <t>hoeveelheid biogas na conversie van m3 a.z. naar Nm3</t>
  </si>
  <si>
    <t>-</t>
  </si>
  <si>
    <t>cmWk</t>
  </si>
  <si>
    <t>(centimeter Waterkolom)</t>
  </si>
  <si>
    <t>2. Gewogen biogassamenstelling berekenen van meerdere biogasstraten</t>
  </si>
  <si>
    <t>Soms beschikken rwzi's over meerdere vergisters waar ook nog verschillende soorten slib/afval in wordt vergist. Niet alleen is de biogasproductie daarvan vaak verschillend maar ook de biogassamenstelling,</t>
  </si>
  <si>
    <t>Met de volgende rekenregels kunt u van verschillende vergistingen de kwaliteit biogas invullen.</t>
  </si>
  <si>
    <t>- T. M. Geerssen: Physical properties of natural gases, N.V. Nederlandse Gasunie, Groningen, the Netherlands (1988).</t>
  </si>
  <si>
    <t>conversie factor op basis van de opgegeven temperatuur en druk bedraagt :</t>
  </si>
  <si>
    <t>Deze laatste definitie wordt geduid met Nm3 ae (Normaal kubieke meter aardgas equivalent).</t>
  </si>
  <si>
    <t>De hoeveelheden biogas kunnen alleen nog ingevoerd worden als 'Nm3'. Gebruik voor de omzetting het betreffende tabblad 'Conversie m3 naar Nm3'</t>
  </si>
  <si>
    <t>In de 'Rekentool Luchtgerelateerde Em' zijn voor CO emissiefactoren opgenomen. Deze mag u alleen gebruiken als u niet beschikt over CO-meetresultaten van de rookgassen.</t>
  </si>
  <si>
    <t>Berekening CO emissiefactor op basis van eigen CO-metingen in rookgassen</t>
  </si>
  <si>
    <t>Biogas van vergisting 4</t>
  </si>
  <si>
    <t>Gebruikt u geen 4 biogasstraten maar 1 of 2, dan dient u de niet gebruikte straten op 0 Nm3/j te zetten.</t>
  </si>
  <si>
    <t>Totale CO2-emissie ten gevolge van biogene- oftewel proces-emissie en verbranding kortcyclisch</t>
  </si>
  <si>
    <t>biogas in onbehandelde vorm doorgeleverd aan derden</t>
  </si>
  <si>
    <t>Uit de berekende CO2-equivalenten, geëmitteerd tgv dissimilatie vanuit de aerobie, kan de CZV-vracht worden berekend die aan de gevormde CO2 ten grondslag lag (kg CZV/j):</t>
  </si>
  <si>
    <t>atmosferisch verbrandingstoestellen (WKK's, cv-ketels, fakkel)</t>
  </si>
  <si>
    <t>- CO2-emissie vanuit de atmosferische verbrandingstoestellen (WKK's, ketels, fakkel) (betreft het CO2-aandeel én het CO2 van de verbrande CH4. De methaanslip is in mindering gebracht)</t>
  </si>
  <si>
    <t>- CO2-emissie vanuit de biogasspui (betreft alleen het CO2-aandeel)</t>
  </si>
  <si>
    <r>
      <t>3.4.1 Totale hoeveelheid kortcyclische CO2-emissie (gebaseerd op CZV-balans = CZV</t>
    </r>
    <r>
      <rPr>
        <b/>
        <vertAlign val="subscript"/>
        <sz val="10"/>
        <rFont val="Calibri"/>
        <family val="2"/>
        <scheme val="minor"/>
      </rPr>
      <t>in</t>
    </r>
    <r>
      <rPr>
        <b/>
        <sz val="10"/>
        <rFont val="Calibri"/>
        <family val="2"/>
        <scheme val="minor"/>
      </rPr>
      <t xml:space="preserve"> minus CZV</t>
    </r>
    <r>
      <rPr>
        <b/>
        <vertAlign val="subscript"/>
        <sz val="10"/>
        <rFont val="Calibri"/>
        <family val="2"/>
        <scheme val="minor"/>
      </rPr>
      <t>uit</t>
    </r>
    <r>
      <rPr>
        <b/>
        <sz val="10"/>
        <rFont val="Calibri"/>
        <family val="2"/>
        <scheme val="minor"/>
      </rPr>
      <t>) naar het luchtcompartiment</t>
    </r>
  </si>
  <si>
    <t>- CO2-emissie vanuit de groengasinstallatie (betreft alleen het CO2-aandeel)</t>
  </si>
  <si>
    <t>biogene oftewel proces CO2-emissie vanuit de sliblijn door verbranding van het biogas (er is rekening gehouden met CH4-emissie vanuit de sliblijn en de biogaslijn):</t>
  </si>
  <si>
    <t>3.4 Bepaling CO2-emissie, onderscheiden in kort- en langcyclische CO2 naar het luchtcompartiment</t>
  </si>
  <si>
    <t>3.4.3 Totale hoeveelheid CO2 (kort en langcyclisch) geëmitteerd vanuit de rwzi naar het luchtcompartiment</t>
  </si>
  <si>
    <t>CO2-emissie door verbranding van biogas (dit is inclusief de CO2 die in biogas zit; dit reeds aanwezige CO2-aandeel wordt door het e-MJV aangemerkt wordt als verbrandingsemissie)</t>
  </si>
  <si>
    <t>CO2-emissie tgv dieselverbranding</t>
  </si>
  <si>
    <t>aandeel CH4</t>
  </si>
  <si>
    <t>Het rekenresultaat is weergegeven in gele velden.</t>
  </si>
  <si>
    <t>Om de berekeningen correct uit te voeren hoeft u alleen de vanillegele velden in te vullen.</t>
  </si>
  <si>
    <t>Het rekenresultaat wordt weergegeven in het gele veld.</t>
  </si>
  <si>
    <t>De ingevulde waarden in het voorbeeld zijn fictief.</t>
  </si>
  <si>
    <t>U kunt de geproduceerde hoeveelheden biogas met verschillende samenstelling invullen van 4 biogasstraten. Vul alleen de cellen in die vanillegeel zijn.</t>
  </si>
  <si>
    <r>
      <t xml:space="preserve">De onder 1. berekende resultaten zijn </t>
    </r>
    <r>
      <rPr>
        <u/>
        <sz val="11"/>
        <rFont val="Calibri"/>
        <family val="2"/>
        <scheme val="minor"/>
      </rPr>
      <t xml:space="preserve">niet </t>
    </r>
    <r>
      <rPr>
        <sz val="11"/>
        <rFont val="Calibri"/>
        <family val="2"/>
        <scheme val="minor"/>
      </rPr>
      <t>doorgekoppeld naar andere tabbladen. De onder 1. berekende waarden zijn dus alleen illustratief.</t>
    </r>
  </si>
  <si>
    <t>Niet zelden worden daarbij (ultrasone) gasdebietmeters ingezet die de gemeten hoeveelheid biogas omrekenen naar Nm3 (let op: en niet 'Nm3 ae'). Bijvoorbeeld de Prosonic van E&amp;H B200. Sommigen beschikken zelfs over een ingebouwde CH4-meting.</t>
  </si>
  <si>
    <r>
      <t xml:space="preserve">Omdat de gastemperatuur en de gasdruk relatief veel invloed hebben op het Normaalvolume en in de praktijk veel verschillen voorkomen, wordt met ingang van 2018 ervoor gekozen om niet meer uit te gaan van de standaard conditie van 25 </t>
    </r>
    <r>
      <rPr>
        <vertAlign val="superscript"/>
        <sz val="11"/>
        <rFont val="Calibri"/>
        <family val="2"/>
        <scheme val="minor"/>
      </rPr>
      <t>o</t>
    </r>
    <r>
      <rPr>
        <sz val="11"/>
        <rFont val="Calibri"/>
        <family val="2"/>
        <scheme val="minor"/>
      </rPr>
      <t>C en 35 cmWK.</t>
    </r>
  </si>
  <si>
    <t>In STOWA-rapport 2014-09 is de volgende definitie gehanteerd:</t>
  </si>
  <si>
    <t>- STOWA 2014-09 Luchtgerelateerde emissies vanuit rwzi's in het kader van de i-PRTR</t>
  </si>
  <si>
    <r>
      <t xml:space="preserve">Temperatuur in </t>
    </r>
    <r>
      <rPr>
        <b/>
        <vertAlign val="superscript"/>
        <sz val="10"/>
        <rFont val="Calibri"/>
        <family val="2"/>
      </rPr>
      <t>o</t>
    </r>
    <r>
      <rPr>
        <b/>
        <sz val="10"/>
        <rFont val="Calibri"/>
        <family val="2"/>
      </rPr>
      <t>C</t>
    </r>
  </si>
  <si>
    <t>(als u naar beneden scrollt kun u in een grafiek de bijbehorende correctiefactor zien)</t>
  </si>
  <si>
    <t>3.4.2 Totale hoeveelheid langcyclische (fossiele brandstoffen) CO2-emissie naar het luchtcompartiment</t>
  </si>
  <si>
    <t>Schematische voorstelling water- en luchtgerelateerde emissies vanuit een rwzi</t>
  </si>
  <si>
    <t xml:space="preserve">Leeswijzer: dit tabblad wordt gebruikt om de watergerelateerde emissie te berekenen. </t>
  </si>
  <si>
    <t xml:space="preserve">De inhoud van dit tabblad is niet verbonden met andere tabbladen van dit spreadsheet. </t>
  </si>
  <si>
    <t xml:space="preserve">Leeswijzer: dit tabblad wordt gebruikt om de luchtgerelateerde emissie te berekenen. </t>
  </si>
  <si>
    <t>Leeswijzer: dit tabblad wordt gebruikt voor achtergrond berekeningen waarvan de resultaten gebruikt worden in het tabblad 'Rekentool luchtgerelateerde Em.'</t>
  </si>
  <si>
    <t>Naast de achtergrondberekeningen geven de berekeningen inzichten in CO2- en balansen van uw rwzi.</t>
  </si>
  <si>
    <t>De inhoud van dit tabblad heeft geen connecties met andere tabbladen.</t>
  </si>
  <si>
    <t>Dit tabblad heeft geen connecties met andere tabbladen.</t>
  </si>
  <si>
    <t>Onder 1. kun u berekenen welke consequenties het methaangehalte heeft voor het gewicht en de CZV-waarde van het biogas.</t>
  </si>
  <si>
    <t>Onder 2. kunt u de gewogen samenstelling berekenen van uw biogas, als u beschikt over meerdere biogaslijnen.</t>
  </si>
  <si>
    <t>Dit tabblad heeft geen connecties met andere tabbladen en dient alleen ter illustratie.</t>
  </si>
  <si>
    <t>Tekstuele aanpassingen</t>
  </si>
  <si>
    <t>IE150's influent</t>
  </si>
  <si>
    <t>U hoeft in dit tabblad niets in te vullen oid. Voorts wordt sterk aanbevolen om geen wijzigingen aan te brengen in dit tabblad.</t>
  </si>
  <si>
    <r>
      <t>mg/IE</t>
    </r>
    <r>
      <rPr>
        <b/>
        <vertAlign val="subscript"/>
        <sz val="10"/>
        <rFont val="Calibri"/>
        <family val="2"/>
        <scheme val="minor"/>
      </rPr>
      <t>150wb</t>
    </r>
    <r>
      <rPr>
        <b/>
        <sz val="10"/>
        <rFont val="Calibri"/>
        <family val="2"/>
        <scheme val="minor"/>
      </rPr>
      <t xml:space="preserve"> per jaar</t>
    </r>
  </si>
  <si>
    <r>
      <t xml:space="preserve">Wat is hoeveelheid CZV die jaarlijks met per as aangevoerd </t>
    </r>
    <r>
      <rPr>
        <u/>
        <sz val="10"/>
        <rFont val="Calibri"/>
        <family val="2"/>
        <scheme val="minor"/>
      </rPr>
      <t>extern</t>
    </r>
    <r>
      <rPr>
        <sz val="10"/>
        <rFont val="Calibri"/>
        <family val="2"/>
        <scheme val="minor"/>
      </rPr>
      <t xml:space="preserve"> slib en/of </t>
    </r>
    <r>
      <rPr>
        <u/>
        <sz val="10"/>
        <rFont val="Calibri"/>
        <family val="2"/>
        <scheme val="minor"/>
      </rPr>
      <t xml:space="preserve">extern </t>
    </r>
    <r>
      <rPr>
        <sz val="10"/>
        <rFont val="Calibri"/>
        <family val="2"/>
        <scheme val="minor"/>
      </rPr>
      <t>aangevoerd afvalwater wordt aangevoerd in de sliblijn  ? Als de CZV niet bekend is, dan kan in de volgende regel met behulp van het drogestofgehalte en de gloeirest toch de CZV-vracht worden berekend. Vul dus één van de twee regels in.</t>
    </r>
  </si>
  <si>
    <t>PRTR-drempel 
in kg/j</t>
  </si>
  <si>
    <t>PRTR rapportage-drempelwaarde</t>
  </si>
  <si>
    <r>
      <t xml:space="preserve">Wat is de hoeveelheid drogestof die met </t>
    </r>
    <r>
      <rPr>
        <u/>
        <sz val="10"/>
        <rFont val="Calibri"/>
        <family val="2"/>
        <scheme val="minor"/>
      </rPr>
      <t>per as aangevoerd extern slib</t>
    </r>
    <r>
      <rPr>
        <sz val="10"/>
        <rFont val="Calibri"/>
        <family val="2"/>
        <scheme val="minor"/>
      </rPr>
      <t xml:space="preserve"> wordt aangevoerd in de waterlijn ? Geef de hoeveelheid op als </t>
    </r>
    <r>
      <rPr>
        <b/>
        <sz val="10"/>
        <rFont val="Calibri"/>
        <family val="2"/>
        <scheme val="minor"/>
      </rPr>
      <t>tonnen slibdrogestof per jaar (ton drogestof per jaar)</t>
    </r>
    <r>
      <rPr>
        <sz val="10"/>
        <rFont val="Calibri"/>
        <family val="2"/>
        <scheme val="minor"/>
      </rPr>
      <t>. Deze regel alleen gebruiken als de CZV van het in de waterlijn aangevoerde slib niet bekend is.</t>
    </r>
  </si>
  <si>
    <r>
      <t xml:space="preserve">Wat is de totale hoeveelheid biogas die in de </t>
    </r>
    <r>
      <rPr>
        <b/>
        <sz val="10"/>
        <rFont val="Calibri"/>
        <family val="2"/>
        <scheme val="minor"/>
      </rPr>
      <t>turbo</t>
    </r>
    <r>
      <rPr>
        <sz val="10"/>
        <rFont val="Calibri"/>
        <family val="2"/>
        <scheme val="minor"/>
      </rPr>
      <t xml:space="preserve"> WKK('s) als brandstof is verbrand ? Tel de hoeveelheden van deze zogenaamde drukgevulde gasverbrandingstoestellen bij elkaar op.</t>
    </r>
  </si>
  <si>
    <t>tabblad 'Rekentool watergerelateerde Em':
- watergerelateerde emissie-factoren PRTR2015 aangebracht tbv de rapportagejaren 2015, 2016, 2017 en 2018;
- emissiefactoren PRTR2011 verplaatst naar kolom K en L.
tabblad 'Rekentool luchtgerelateerde Em':
- voorwaardelijke opmaak in kolom G van de 'Emissieberekeningen' aangepast</t>
  </si>
  <si>
    <t>Leeswijzer: Dit tabblad hoeft u alleen te gebruiken als u u gashoeveelheden wilt omzetten van 'm3' naar 'Nm3'.</t>
  </si>
  <si>
    <t>Gebruikers kunnen met ingang van rapportagejaar 2017 (dus vanaf begin maart 2018) gebruik maken van het onderhavige tabblad om gemeten 'm3 a.z.' om te zetten in 'Nm3'. Het is dan wel nodig dat de gastemperatuur en gasdruk bekend zijn.</t>
  </si>
  <si>
    <t>Vanuit dit tabblad zijn géén koppelingen gemaakt met andere tabbladen. In het tabblad 'Rekentool luchtgerelateerde Em' kunt u een percentage CH4 invullen. Vervolgens wordt in het tabblad CO2 CZV-balans automatisch gerekend met een aangepaste CZV-waarde voor het biogas.</t>
  </si>
  <si>
    <t xml:space="preserve">Onder 2. kunt een gewogen samenstelling van biogas berekenen. Rwzi's die over meerdere biogasstraten met verschillende biogassamenstellingen beschikken, kunnen aan de hand van de betreffende berekeningen vaststellen wat de gewogen biogassamenstelling is wanneer het biogas van al die straten met elkaar wordt gemengd. </t>
  </si>
  <si>
    <t>arseen</t>
  </si>
  <si>
    <t>cadmium</t>
  </si>
  <si>
    <t>chroom</t>
  </si>
  <si>
    <t>koper</t>
  </si>
  <si>
    <t>kwik</t>
  </si>
  <si>
    <t>nikkel</t>
  </si>
  <si>
    <t>lood</t>
  </si>
  <si>
    <t>zink</t>
  </si>
  <si>
    <t>Het enige wat u hoeft te doen is de werkelijke gemeten belasting van uw rwzi invullen in het vanillegekleurd vak.</t>
  </si>
  <si>
    <t>Correctie In tabblad 'Rekentool Luchtgerelateerde Em' in helptekst van cel E62</t>
  </si>
  <si>
    <t>Uitbreiding  tabblad 'Rekentool watergerelateerde Em' met emissiefactoren voor zware metalen</t>
  </si>
  <si>
    <t xml:space="preserve">Aanpassingen e-factoren obv PRTR-onderzoeksprogramma 2019. De resultaten zijn opgenomen in STOWA-rapport 2019-40 
Diverse tekstuele aanpassingen.
Veranderingen RVO-tabel 2019 (Nederlandse lijst van energiedragers en standaard CO2 emissiefactoren, versie januari 2019)  aangebracht </t>
  </si>
  <si>
    <t>Definitie aantal   ve</t>
  </si>
  <si>
    <t>Achtergrond</t>
  </si>
  <si>
    <t>Opmerkingen</t>
  </si>
  <si>
    <t>toepassing</t>
  </si>
  <si>
    <t>Voor 1970</t>
  </si>
  <si>
    <t>1 inwoner loost 54 g BZV5 per dag</t>
  </si>
  <si>
    <t>influent en effluent</t>
  </si>
  <si>
    <t>nvt</t>
  </si>
  <si>
    <t>44/54</t>
  </si>
  <si>
    <t>48,5/54</t>
  </si>
  <si>
    <t>Vanaf 1970 t/m 1985</t>
  </si>
  <si>
    <t>1 inwoner loost 136 g CZV en 10 g Kj-N per dag</t>
  </si>
  <si>
    <t>180/136</t>
  </si>
  <si>
    <t>150/180</t>
  </si>
  <si>
    <t>De T-factor is van toepassing als het effluent vergaand biologisch is gezuiverd.</t>
  </si>
  <si>
    <t>136/180</t>
  </si>
  <si>
    <t>Vanaf 1986 tot heden</t>
  </si>
  <si>
    <t>1 inwoner loost 94 g CZV en 9,2 g Kj-N per dag</t>
  </si>
  <si>
    <t>54/44</t>
  </si>
  <si>
    <t>150/136</t>
  </si>
  <si>
    <t>Het aantal heffingseenheden wordt uitgedrukt in kostenveroorzakingseenheid kve. De kosten van zuiveren worden bepaald door 4 aspecten met  ieder een bepaalde, statistisch bepaalde wegingsfactor. De 4 aspecten zijn: maximale uurdebiet, CZV, N-totaal en P-totaal.</t>
  </si>
  <si>
    <t>1 inwoner loost 104 g CZV en 10,1 g Kj-N per dag</t>
  </si>
  <si>
    <t>54/48,5</t>
  </si>
  <si>
    <t>180/150</t>
  </si>
  <si>
    <t>136/150</t>
  </si>
  <si>
    <t>Periode van toepasing</t>
  </si>
  <si>
    <t>IE-afkorting</t>
  </si>
  <si>
    <t>IE54</t>
  </si>
  <si>
    <t>IE180</t>
  </si>
  <si>
    <t>IE136</t>
  </si>
  <si>
    <t>IE150</t>
  </si>
  <si>
    <t>Zie CIW -rapport Financiering Zuiveringsbeheer (1999)</t>
  </si>
  <si>
    <t>IEkve40</t>
  </si>
  <si>
    <r>
      <t>IE</t>
    </r>
    <r>
      <rPr>
        <vertAlign val="subscript"/>
        <sz val="11"/>
        <rFont val="Calibri"/>
        <family val="2"/>
        <scheme val="minor"/>
      </rPr>
      <t>54</t>
    </r>
  </si>
  <si>
    <r>
      <t>influent en voorgezuiverd afvalwater tot BZV</t>
    </r>
    <r>
      <rPr>
        <vertAlign val="subscript"/>
        <sz val="11"/>
        <rFont val="Calibri"/>
        <family val="2"/>
        <scheme val="minor"/>
      </rPr>
      <t>5</t>
    </r>
    <r>
      <rPr>
        <sz val="11"/>
        <rFont val="Calibri"/>
        <family val="2"/>
        <scheme val="minor"/>
      </rPr>
      <t xml:space="preserve"> &gt; 20mg/l</t>
    </r>
  </si>
  <si>
    <r>
      <t>IE</t>
    </r>
    <r>
      <rPr>
        <vertAlign val="subscript"/>
        <sz val="11"/>
        <rFont val="Calibri"/>
        <family val="2"/>
        <scheme val="minor"/>
      </rPr>
      <t>180</t>
    </r>
  </si>
  <si>
    <r>
      <t>voor bepaling restvervuiling effluent met BZV</t>
    </r>
    <r>
      <rPr>
        <vertAlign val="subscript"/>
        <sz val="11"/>
        <rFont val="Calibri"/>
        <family val="2"/>
        <scheme val="minor"/>
      </rPr>
      <t xml:space="preserve">5 </t>
    </r>
    <r>
      <rPr>
        <sz val="11"/>
        <rFont val="Calibri"/>
        <family val="2"/>
        <scheme val="minor"/>
      </rPr>
      <t>&lt; 20 mg/l</t>
    </r>
  </si>
  <si>
    <r>
      <t>IE</t>
    </r>
    <r>
      <rPr>
        <vertAlign val="subscript"/>
        <sz val="11"/>
        <rFont val="Calibri"/>
        <family val="2"/>
        <scheme val="minor"/>
      </rPr>
      <t>136</t>
    </r>
  </si>
  <si>
    <r>
      <t>IE</t>
    </r>
    <r>
      <rPr>
        <vertAlign val="subscript"/>
        <sz val="11"/>
        <rFont val="Calibri"/>
        <family val="2"/>
        <scheme val="minor"/>
      </rPr>
      <t>kve40</t>
    </r>
  </si>
  <si>
    <r>
      <t>IE</t>
    </r>
    <r>
      <rPr>
        <vertAlign val="subscript"/>
        <sz val="11"/>
        <rFont val="Calibri"/>
        <family val="2"/>
        <scheme val="minor"/>
      </rPr>
      <t>150</t>
    </r>
  </si>
  <si>
    <t>IE60</t>
  </si>
  <si>
    <t>EU vanaf 1991</t>
  </si>
  <si>
    <t>1 inwoner loost 60  g BZV5 per dag</t>
  </si>
  <si>
    <t>Richtlijn 91/271/EEG artikel 2 lid 6 Inwonerequivalent: de biologisch afbreekbare organische belasting met een biochemisch zuurstofverbruik gedurende vijf dagen (BZV5) van 60 g zuurstof per dag</t>
  </si>
  <si>
    <r>
      <t>(6)</t>
    </r>
    <r>
      <rPr>
        <sz val="11"/>
        <rFont val="Calibri"/>
        <family val="2"/>
        <scheme val="minor"/>
      </rPr>
      <t xml:space="preserve"> (g BZV</t>
    </r>
    <r>
      <rPr>
        <vertAlign val="subscript"/>
        <sz val="11"/>
        <rFont val="Calibri"/>
        <family val="2"/>
        <scheme val="minor"/>
      </rPr>
      <t xml:space="preserve">5 </t>
    </r>
    <r>
      <rPr>
        <sz val="11"/>
        <rFont val="Calibri"/>
        <family val="2"/>
        <scheme val="minor"/>
      </rPr>
      <t>per dag )/60</t>
    </r>
  </si>
  <si>
    <r>
      <t xml:space="preserve"> (1) (</t>
    </r>
    <r>
      <rPr>
        <sz val="11"/>
        <rFont val="Calibri"/>
        <family val="2"/>
        <scheme val="minor"/>
      </rPr>
      <t>g BZV</t>
    </r>
    <r>
      <rPr>
        <vertAlign val="subscript"/>
        <sz val="11"/>
        <rFont val="Calibri"/>
        <family val="2"/>
        <scheme val="minor"/>
      </rPr>
      <t>5</t>
    </r>
    <r>
      <rPr>
        <sz val="11"/>
        <rFont val="Calibri"/>
        <family val="2"/>
        <scheme val="minor"/>
      </rPr>
      <t xml:space="preserve"> per dag)/54</t>
    </r>
  </si>
  <si>
    <r>
      <t xml:space="preserve">(2) </t>
    </r>
    <r>
      <rPr>
        <sz val="11"/>
        <rFont val="Calibri"/>
        <family val="2"/>
        <scheme val="minor"/>
      </rPr>
      <t>(g CZV/d + 4,57 * g Kj-N/d)/180</t>
    </r>
  </si>
  <si>
    <r>
      <t xml:space="preserve">(4) </t>
    </r>
    <r>
      <rPr>
        <sz val="11"/>
        <rFont val="Calibri"/>
        <family val="2"/>
        <scheme val="minor"/>
      </rPr>
      <t>(g CZV/d + 4,57 * g Kj-N/d)/136</t>
    </r>
  </si>
  <si>
    <r>
      <t>(5)</t>
    </r>
    <r>
      <rPr>
        <sz val="11"/>
        <rFont val="Calibri"/>
        <family val="2"/>
        <scheme val="minor"/>
      </rPr>
      <t xml:space="preserve"> ( 3,33 * g BZV</t>
    </r>
    <r>
      <rPr>
        <vertAlign val="subscript"/>
        <sz val="11"/>
        <rFont val="Calibri"/>
        <family val="2"/>
        <scheme val="minor"/>
      </rPr>
      <t>5</t>
    </r>
    <r>
      <rPr>
        <sz val="11"/>
        <rFont val="Calibri"/>
        <family val="2"/>
        <scheme val="minor"/>
      </rPr>
      <t>/d + 4,57 * g Kj-N/d)/136</t>
    </r>
  </si>
  <si>
    <r>
      <t>(3)</t>
    </r>
    <r>
      <rPr>
        <sz val="11"/>
        <rFont val="Calibri"/>
        <family val="2"/>
        <scheme val="minor"/>
      </rPr>
      <t xml:space="preserve"> (3,33 * g BZV</t>
    </r>
    <r>
      <rPr>
        <vertAlign val="subscript"/>
        <sz val="11"/>
        <rFont val="Calibri"/>
        <family val="2"/>
        <scheme val="minor"/>
      </rPr>
      <t>5</t>
    </r>
    <r>
      <rPr>
        <sz val="11"/>
        <rFont val="Calibri"/>
        <family val="2"/>
        <scheme val="minor"/>
      </rPr>
      <t>/d + 4,57 * g Kj-N/d)/180</t>
    </r>
  </si>
  <si>
    <r>
      <t>(6)</t>
    </r>
    <r>
      <rPr>
        <sz val="11"/>
        <rFont val="Calibri"/>
        <family val="2"/>
        <scheme val="minor"/>
      </rPr>
      <t xml:space="preserve">  Q</t>
    </r>
    <r>
      <rPr>
        <vertAlign val="subscript"/>
        <sz val="11"/>
        <rFont val="Calibri"/>
        <family val="2"/>
        <scheme val="minor"/>
      </rPr>
      <t xml:space="preserve">uurmax </t>
    </r>
    <r>
      <rPr>
        <sz val="11"/>
        <rFont val="Calibri"/>
        <family val="2"/>
        <scheme val="minor"/>
      </rPr>
      <t>* 9,5 + (0,1 * g CVZ/d + g N-tot/d + 4 * g P-tot/d)/40</t>
    </r>
  </si>
  <si>
    <r>
      <t xml:space="preserve">(7) </t>
    </r>
    <r>
      <rPr>
        <sz val="11"/>
        <rFont val="Calibri"/>
        <family val="2"/>
        <scheme val="minor"/>
      </rPr>
      <t>(g CZV/d + 4,57 * g Kj-N/d)/150</t>
    </r>
  </si>
  <si>
    <r>
      <t>IE</t>
    </r>
    <r>
      <rPr>
        <vertAlign val="subscript"/>
        <sz val="11"/>
        <rFont val="Calibri"/>
        <family val="2"/>
        <scheme val="minor"/>
      </rPr>
      <t>60</t>
    </r>
  </si>
  <si>
    <t>Historisch overzicht vervuilingeenheid (ve) en inwonerequivalent (ie) met conversiefactoren</t>
  </si>
  <si>
    <r>
      <t>Bezinkbare onopgeloste stoffen :19 g/IE</t>
    </r>
    <r>
      <rPr>
        <vertAlign val="subscript"/>
        <sz val="11"/>
        <rFont val="Calibri"/>
        <family val="2"/>
        <scheme val="minor"/>
      </rPr>
      <t>54</t>
    </r>
    <r>
      <rPr>
        <sz val="11"/>
        <rFont val="Calibri"/>
        <family val="2"/>
        <scheme val="minor"/>
      </rPr>
      <t>. Niet bezinkbare onopgeloste stoffen (colloïdale stoffen): 12 g/IE</t>
    </r>
    <r>
      <rPr>
        <vertAlign val="subscript"/>
        <sz val="11"/>
        <rFont val="Calibri"/>
        <family val="2"/>
        <scheme val="minor"/>
      </rPr>
      <t>54</t>
    </r>
    <r>
      <rPr>
        <sz val="11"/>
        <rFont val="Calibri"/>
        <family val="2"/>
        <scheme val="minor"/>
      </rPr>
      <t>. Niet bezinkbare opgeloste stoffen (moleculair opgeloste stoffen) :23 g/IE</t>
    </r>
    <r>
      <rPr>
        <vertAlign val="subscript"/>
        <sz val="11"/>
        <rFont val="Calibri"/>
        <family val="2"/>
        <scheme val="minor"/>
      </rPr>
      <t>54</t>
    </r>
    <r>
      <rPr>
        <sz val="11"/>
        <rFont val="Calibri"/>
        <family val="2"/>
        <scheme val="minor"/>
      </rPr>
      <t>. 
In een VBT wordt bijvoorbeeld 80 % van 19 g BZV/IE</t>
    </r>
    <r>
      <rPr>
        <vertAlign val="subscript"/>
        <sz val="11"/>
        <rFont val="Calibri"/>
        <family val="2"/>
        <scheme val="minor"/>
      </rPr>
      <t>54</t>
    </r>
    <r>
      <rPr>
        <sz val="11"/>
        <rFont val="Calibri"/>
        <family val="2"/>
        <scheme val="minor"/>
      </rPr>
      <t xml:space="preserve"> verwijderd. In een  actiefslibtank komt dan 20% van 19 g is 3,8 g BZV/IE</t>
    </r>
    <r>
      <rPr>
        <vertAlign val="subscript"/>
        <sz val="11"/>
        <rFont val="Calibri"/>
        <family val="2"/>
        <scheme val="minor"/>
      </rPr>
      <t>54</t>
    </r>
    <r>
      <rPr>
        <sz val="11"/>
        <rFont val="Calibri"/>
        <family val="2"/>
        <scheme val="minor"/>
      </rPr>
      <t xml:space="preserve"> aan zeer fijn gesuspendeerde stoffen terecht. Tesamen met de colloïdale en moleculair opgeloste stoffen is in totaal 3,8 + 12 + 23 g BZV = 38,8 g BZV/IE</t>
    </r>
    <r>
      <rPr>
        <vertAlign val="subscript"/>
        <sz val="11"/>
        <rFont val="Calibri"/>
        <family val="2"/>
        <scheme val="minor"/>
      </rPr>
      <t>54</t>
    </r>
    <r>
      <rPr>
        <sz val="11"/>
        <rFont val="Calibri"/>
        <family val="2"/>
        <scheme val="minor"/>
      </rPr>
      <t>. Deze benadering is afkomstig van de duitser Imhoff (jaren vijftig). Hier was echter sprake van metingen in het influent van een rwzi met een gemengd rioolstelsel van huishoudelijk en een klein aandeel  ambachtelijk industrieel afvalwater.</t>
    </r>
  </si>
  <si>
    <r>
      <t>Aanname CZV/BZV5 = 2,5; een inwoner loost 54 g BZV</t>
    </r>
    <r>
      <rPr>
        <vertAlign val="subscript"/>
        <sz val="11"/>
        <rFont val="Calibri"/>
        <family val="2"/>
        <scheme val="minor"/>
      </rPr>
      <t>5</t>
    </r>
    <r>
      <rPr>
        <sz val="11"/>
        <rFont val="Calibri"/>
        <family val="2"/>
        <scheme val="minor"/>
      </rPr>
      <t xml:space="preserve"> per dag. Het Totaal chemische zuurstofverbruik (TZV) = 136 + 4,57 * 10= 180 g per inwoner per dag. Per inwoner per dag wordt tevens geloosd 3 - 3,5 g Fosfor-totaal (P-tot) waarvan 1,5 g P-tot  afkomstig van de inwoner en 1,5-2 g P-tot  van gebruikte wasmiddelen. </t>
    </r>
  </si>
  <si>
    <r>
      <t>Metingen onmiddelijk na de woning (dus geen invloed van verontreinigd regenwater, industrieel afvalwater en mogelijke afbraak in het rioolstelsel). Een inwoner loost per dag: 44 g BZV</t>
    </r>
    <r>
      <rPr>
        <vertAlign val="subscript"/>
        <sz val="11"/>
        <rFont val="Calibri"/>
        <family val="2"/>
        <scheme val="minor"/>
      </rPr>
      <t>5</t>
    </r>
    <r>
      <rPr>
        <sz val="11"/>
        <rFont val="Calibri"/>
        <family val="2"/>
        <scheme val="minor"/>
      </rPr>
      <t>, 94 g CZV, 9,2 g Kj-N, 1,5 g P-tot (bij gebruik van P-loze wasmiddelen) en 60 g ds aan bezinksel. Typering voorbezonken afvalwater:  30 g BZV</t>
    </r>
    <r>
      <rPr>
        <vertAlign val="subscript"/>
        <sz val="11"/>
        <rFont val="Calibri"/>
        <family val="2"/>
        <scheme val="minor"/>
      </rPr>
      <t>5</t>
    </r>
    <r>
      <rPr>
        <sz val="11"/>
        <rFont val="Calibri"/>
        <family val="2"/>
        <scheme val="minor"/>
      </rPr>
      <t>. De TZV bedraagt TZV =  94 + 4,57 * 9,2 = 136 g inwoner per dag. Per inwoner per jaar wordt ca 20 g zware metalen (Zn, Ni, Cu, Cr, Pb) geloosd en ca 0,3 g zware metalen  (Hg, Cd, As).</t>
    </r>
  </si>
  <si>
    <r>
      <t>Metingen onmiddelijk na de woning (dus geen invloed van verontreinigd regenwater, industrieel afvalwater en mogelijke afbraak in het rioolstelsel). Een inwoner loost per dag: 48,5 g BZV</t>
    </r>
    <r>
      <rPr>
        <vertAlign val="subscript"/>
        <sz val="11"/>
        <rFont val="Calibri"/>
        <family val="2"/>
        <scheme val="minor"/>
      </rPr>
      <t>5</t>
    </r>
    <r>
      <rPr>
        <sz val="11"/>
        <rFont val="Calibri"/>
        <family val="2"/>
        <scheme val="minor"/>
      </rPr>
      <t>, 104  g CZV, 10,1 g Kj-N, 1,5 g P-tot (bij gebruik van P-loze wasmiddelen) en 60 g ds aan bezinksel. Typering voorbezonken afvalwater:  30 g BZV</t>
    </r>
    <r>
      <rPr>
        <vertAlign val="subscript"/>
        <sz val="11"/>
        <rFont val="Calibri"/>
        <family val="2"/>
        <scheme val="minor"/>
      </rPr>
      <t>5</t>
    </r>
    <r>
      <rPr>
        <sz val="11"/>
        <rFont val="Calibri"/>
        <family val="2"/>
        <scheme val="minor"/>
      </rPr>
      <t>. De TZV bedraagt TZV = 104 + 4,57 * 10,1= 150 g inwoner per dag. Per inwoner per jaar ca 20 g zware metalen (Zn, Ni, Cu, Cr, Pb) en ca 0,3 g zware metalen  (Hg, Cd, As).</t>
    </r>
  </si>
  <si>
    <t>T-factor</t>
  </si>
  <si>
    <t>60/54</t>
  </si>
  <si>
    <t>60/44</t>
  </si>
  <si>
    <t>54/60</t>
  </si>
  <si>
    <t>44/60</t>
  </si>
  <si>
    <t>48,5/60</t>
  </si>
  <si>
    <t>60/48,5</t>
  </si>
  <si>
    <t>A</t>
  </si>
  <si>
    <t>B</t>
  </si>
  <si>
    <t>C</t>
  </si>
  <si>
    <t>D</t>
  </si>
  <si>
    <t>E</t>
  </si>
  <si>
    <t>G</t>
  </si>
  <si>
    <t>H</t>
  </si>
  <si>
    <t>versie: 2020</t>
  </si>
  <si>
    <t>Conversietabel IE-soorten toegevoegd; celadressering correctie in toelichtende tekst</t>
  </si>
  <si>
    <t>1. Als u beschikt over één gisting of maar één soort biogas, dan kun u cel D17 invullen; heeft u meerdere zogenaamde biogasstraten bereken dan eerst de gewogen biogassamenstelling (onder 2.)</t>
  </si>
  <si>
    <t>In de berekening wordt vervolgens de biogassamenstelling van het mengsel berekend. De rekenresultaten zijn weergegeven in cellen I46 tot en met I50 (de gele velden).</t>
  </si>
  <si>
    <r>
      <t xml:space="preserve">De onder 2. berekende resultaten zijn </t>
    </r>
    <r>
      <rPr>
        <u/>
        <sz val="11"/>
        <rFont val="Calibri"/>
        <family val="2"/>
        <scheme val="minor"/>
      </rPr>
      <t xml:space="preserve">niet </t>
    </r>
    <r>
      <rPr>
        <sz val="11"/>
        <rFont val="Calibri"/>
        <family val="2"/>
        <scheme val="minor"/>
      </rPr>
      <t>doorgekoppeld naar andere tabbladen en zijn dus alleen illustratief. Wilt u gebruik maken van de rekenresultaten dan dient u deze over te nemen in het tabblad 'Rekentool luchtgerelateerde Em'.</t>
    </r>
  </si>
  <si>
    <t>Hieronder vindt u 4 straten. Voor 2 straten is in het voorbeeld een biogashoeveelheid ingevuld (straat 3 en 4 staan in het rekenvoorbeeld op '0' Nm3/j).</t>
  </si>
  <si>
    <t>vracht</t>
  </si>
  <si>
    <t>2.3</t>
  </si>
  <si>
    <r>
      <t xml:space="preserve">Wat is hoeveelheid CZV die jaarlijks met </t>
    </r>
    <r>
      <rPr>
        <u/>
        <sz val="10"/>
        <rFont val="Calibri"/>
        <family val="2"/>
        <scheme val="minor"/>
      </rPr>
      <t>per as aangevoerd extern slib en/of extern aangevoerd afvalwater</t>
    </r>
    <r>
      <rPr>
        <sz val="10"/>
        <rFont val="Calibri"/>
        <family val="2"/>
        <scheme val="minor"/>
      </rPr>
      <t xml:space="preserve"> wordt aangevoerd in de sliblijn  ? Als de CZV niet bekend is, dan kan in de volgende regel met behulp van het drogestofgehalte en de gloeirest toch de CZV-vracht worden berekend. Meestal zal één van de twee regels ingevuld worden, maar soms ook beiden.</t>
    </r>
  </si>
  <si>
    <t>* biogas dat vanuit de naindikkers/slibbuffer geëmitteerd is en waarvan de CH4- en CO2-componenten als volgt zijn verdisconteerd:</t>
  </si>
  <si>
    <t>gassamenstelling van het biogas tav CH4 en CO2 (het aandeel H2S, NH3, vocht en andere bestanddelen wordt verwaarloosd) gebaseerd op de in cel G41 aangegeven aandeel methaan van het biogas</t>
  </si>
  <si>
    <t>sliblijn (emissie vanuit slibindikkers en buffers in het geval een slibgisting aanwezig is)</t>
  </si>
  <si>
    <t>g CH4 per kg drogestof aangevoerd naar de slibgisting</t>
  </si>
  <si>
    <t>kg totaal VOS per j</t>
  </si>
  <si>
    <t>RVO-tabel januari 2024</t>
  </si>
  <si>
    <r>
      <t xml:space="preserve">Wat is het gemiddelde CH4-gehalte in het biogas dat verbrand wordt in de gasverbrandingstoestellen? U mag deze waarde baseren op de metingen /waarnemingen die u door het jaar heen heeft uitgevoerd. Gebruik, als dat nodig is, het </t>
    </r>
    <r>
      <rPr>
        <sz val="10"/>
        <color rgb="FFFF0000"/>
        <rFont val="Calibri"/>
        <family val="2"/>
        <scheme val="minor"/>
      </rPr>
      <t xml:space="preserve">rood </t>
    </r>
    <r>
      <rPr>
        <sz val="10"/>
        <rFont val="Calibri"/>
        <family val="2"/>
        <scheme val="minor"/>
      </rPr>
      <t xml:space="preserve">gekleurde tabblad </t>
    </r>
    <r>
      <rPr>
        <sz val="10"/>
        <color theme="1"/>
        <rFont val="Calibri"/>
        <family val="2"/>
        <scheme val="minor"/>
      </rPr>
      <t>'Biogassamenstelling</t>
    </r>
    <r>
      <rPr>
        <sz val="10"/>
        <rFont val="Calibri"/>
        <family val="2"/>
        <scheme val="minor"/>
      </rPr>
      <t>' als u van meerdere biogasstraten de gewogen samenstelling wilt bepalen.</t>
    </r>
  </si>
  <si>
    <t>3.8</t>
  </si>
  <si>
    <t>Diverse aanpassingen zoals:
- correctie foutief kengetal VOS;
- correctie CH4-emissiefactor voor de sliblijn; 
- apart tabblad 'Berekening e-factor CO' aangebracht. Hiermee kunnen CO-waarnemingen omgezet worden in een zelf berekende CO-emissiefactor voor emissiefactoren van drukgevulde gasverbrandingsapparatuur;
- in het tabblad 'Rekentool luchtgerelateerde Em''wordt alleen nog uitgegaan van Nm3 en niet van m3. In een apart aangebracht tabblad 'Conversie m3 naar Nm3' kunnen biogashoeveelheden van m3 omgezet worden in Nm3;
- in het tabblad 'Rekentool luchtgerelateerde Em' kan het methaanaandeel van het biogas worden ingevuld (CH4 als variabele). In het apart aangebrachte tabblad 'Biogassamenstelling' kan van verschillende biogasstraten een gewogen biogassamenstelling worden berekend. Het rekenresultaat kan worden gebruikt in het tabblad 'Rekentool luchtgerelateerde Em'. Voorts is het mogelijk om de consequentie te bekijken van het methaangehalte voor de CZV-waarde van het biogas en het gewicht van het biogas. Deze dienen ter illustratie en worden verder niet gebruikt in andere tabbladen;
- de emissiefactoren uit de RVO-tabel 2017 zijn verwerkt;
- voor berekening van de CO2-emissie is in het tabblad 'Rekentool luchtgerelateerde Em' de emissie van een eventuele groengasinstallatie nu juist verdisconteerd;
- in het tabblad 'Balans CO2 en CZV' de posten groengas en doorgeleverd biogas aangebracht. Tevens in de afgevoerde CH4-vracht onderscheid aangebracht tussen CH4 die geëmitteerd wordt en CH4 die naar derden wordt afgevoerd;
- schema van alle luchtgerelateerde emissies vanuit een rwzi aangebracht ter illustratie</t>
  </si>
  <si>
    <t xml:space="preserve">    - CO2-equivalenten van het CH4-aandeel van het biogas dat vanuit na-indikkers en vergistslibbuffers geëmitteerd wordt</t>
  </si>
  <si>
    <t xml:space="preserve">    - CO2-aandeel van biogas dat vanuit na-indikkers en vergistslibbuffers geëmitteerd wordt</t>
  </si>
  <si>
    <r>
      <t xml:space="preserve">* CO2-restpost die betrekking heeft op de organische stof die aeroob is gedissimileerd (betreft een </t>
    </r>
    <r>
      <rPr>
        <i/>
        <sz val="11"/>
        <rFont val="Calibri"/>
        <family val="2"/>
        <scheme val="minor"/>
      </rPr>
      <t>gesaldeerd</t>
    </r>
    <r>
      <rPr>
        <sz val="11"/>
        <rFont val="Calibri"/>
        <family val="2"/>
        <scheme val="minor"/>
      </rPr>
      <t xml:space="preserve"> bedrag)</t>
    </r>
  </si>
  <si>
    <r>
      <t xml:space="preserve">Wat is de hoeveelheid biogas die in de </t>
    </r>
    <r>
      <rPr>
        <b/>
        <sz val="10"/>
        <rFont val="Calibri"/>
        <family val="2"/>
        <scheme val="minor"/>
      </rPr>
      <t>atmosferische</t>
    </r>
    <r>
      <rPr>
        <sz val="10"/>
        <rFont val="Calibri"/>
        <family val="2"/>
        <scheme val="minor"/>
      </rPr>
      <t xml:space="preserve"> WKK('s), CV en fakkel is verbrand ? Tel de hoeveelheden van deze atmosferische gasverbrandingstoestellen bij elkaar op.</t>
    </r>
  </si>
  <si>
    <t>3.9</t>
  </si>
  <si>
    <t xml:space="preserve">Heeft u een CO2 vervloeiingsinstallatie ? </t>
  </si>
  <si>
    <t>Vul in: 'ja' of 'nee'</t>
  </si>
  <si>
    <t>ja</t>
  </si>
  <si>
    <t>3.10</t>
  </si>
  <si>
    <t>ton CO2/j</t>
  </si>
  <si>
    <t>- CO2 die via de CGI (CO2-vervloeiingsinstallatie) naar derden is afgevoerd</t>
  </si>
  <si>
    <t>g CH4 per Nm3 biogas toegevoerd aan de GGI</t>
  </si>
  <si>
    <t>methaanslip bij groengasinstallaties (GGI)</t>
  </si>
  <si>
    <t>3.11</t>
  </si>
  <si>
    <t>Nm3 biogas/j</t>
  </si>
  <si>
    <t>methaanslip bij groengasinstallaties (GGI) gecombineerd met een CO2-vervloeiingsinstallatie (CVI)</t>
  </si>
  <si>
    <t>emissie vanuit een GGI-CVI-combinatie (methaanslip)</t>
  </si>
  <si>
    <t>ja/nee</t>
  </si>
  <si>
    <r>
      <t xml:space="preserve">3. Biogaslijn (incl aardgas en ev. dieselverbruik). </t>
    </r>
    <r>
      <rPr>
        <b/>
        <sz val="11"/>
        <color theme="1"/>
        <rFont val="Calibri"/>
        <family val="2"/>
        <scheme val="minor"/>
      </rPr>
      <t xml:space="preserve">LET OP: U dient de door u genoteerde m3's biogas eerst om te zetten naar Nm3 vóórdat u cellen G31 tot en met G35 invult. Gebruik daarvoor het hulpmiddel dat opgenomen is in het betreffende </t>
    </r>
    <r>
      <rPr>
        <b/>
        <sz val="11"/>
        <color rgb="FFFF0000"/>
        <rFont val="Calibri"/>
        <family val="2"/>
        <scheme val="minor"/>
      </rPr>
      <t xml:space="preserve">rood </t>
    </r>
    <r>
      <rPr>
        <b/>
        <sz val="11"/>
        <color theme="1"/>
        <rFont val="Calibri"/>
        <family val="2"/>
        <scheme val="minor"/>
      </rPr>
      <t>gekleurde tabblad 'Conversie m3 naar Nm3'.</t>
    </r>
  </si>
  <si>
    <t>totale CH4-emissie vanuit de gehele inrichting</t>
  </si>
  <si>
    <r>
      <t>mg benzeen/IE</t>
    </r>
    <r>
      <rPr>
        <vertAlign val="subscript"/>
        <sz val="10"/>
        <rFont val="Calibri"/>
        <family val="2"/>
        <scheme val="minor"/>
      </rPr>
      <t>150wb</t>
    </r>
    <r>
      <rPr>
        <sz val="10"/>
        <rFont val="Calibri"/>
        <family val="2"/>
        <scheme val="minor"/>
      </rPr>
      <t xml:space="preserve"> per jaar</t>
    </r>
  </si>
  <si>
    <r>
      <t>mg tolueen/IE</t>
    </r>
    <r>
      <rPr>
        <vertAlign val="subscript"/>
        <sz val="10"/>
        <rFont val="Calibri"/>
        <family val="2"/>
        <scheme val="minor"/>
      </rPr>
      <t>150wb</t>
    </r>
    <r>
      <rPr>
        <sz val="10"/>
        <rFont val="Calibri"/>
        <family val="2"/>
        <scheme val="minor"/>
      </rPr>
      <t xml:space="preserve"> per jaar</t>
    </r>
  </si>
  <si>
    <r>
      <t>g CH4/(kg CZV</t>
    </r>
    <r>
      <rPr>
        <vertAlign val="subscript"/>
        <sz val="10"/>
        <rFont val="Calibri"/>
        <family val="2"/>
        <scheme val="minor"/>
      </rPr>
      <t xml:space="preserve">aanvoer </t>
    </r>
    <r>
      <rPr>
        <sz val="10"/>
        <rFont val="Calibri"/>
        <family val="2"/>
        <scheme val="minor"/>
      </rPr>
      <t>- kg CZV</t>
    </r>
    <r>
      <rPr>
        <vertAlign val="subscript"/>
        <sz val="10"/>
        <rFont val="Calibri"/>
        <family val="2"/>
        <scheme val="minor"/>
      </rPr>
      <t>slib vanuit water- naar sliblijn</t>
    </r>
    <r>
      <rPr>
        <sz val="10"/>
        <rFont val="Calibri"/>
        <family val="2"/>
        <scheme val="minor"/>
      </rPr>
      <t>)</t>
    </r>
  </si>
  <si>
    <r>
      <t xml:space="preserve">U dient </t>
    </r>
    <r>
      <rPr>
        <b/>
        <sz val="11"/>
        <rFont val="Calibri"/>
        <family val="2"/>
        <scheme val="minor"/>
      </rPr>
      <t>alleen</t>
    </r>
    <r>
      <rPr>
        <sz val="11"/>
        <rFont val="Calibri"/>
        <family val="2"/>
        <scheme val="minor"/>
      </rPr>
      <t xml:space="preserve"> de vanillegekleurde vakken in te vullen.  </t>
    </r>
  </si>
  <si>
    <t>g CH4 per Nm3 biogas toegevoerd aan de GGI-CVI-combinatie</t>
  </si>
  <si>
    <t>Wat is de N-totaal vracht die jaarlijks met het influent wordt aangevoerd</t>
  </si>
  <si>
    <t>kg Ntot/j</t>
  </si>
  <si>
    <t>g N2O/kg Ntot</t>
  </si>
  <si>
    <t>Tabblad aangemaakt om achtergrond informatie makkelijker te beheren</t>
  </si>
  <si>
    <t>nee</t>
  </si>
  <si>
    <r>
      <t xml:space="preserve">Wat is hoeveelheid CZV die jaarlijks met </t>
    </r>
    <r>
      <rPr>
        <u/>
        <sz val="10"/>
        <rFont val="Calibri"/>
        <family val="2"/>
        <scheme val="minor"/>
      </rPr>
      <t xml:space="preserve">per as aangevoerd extern slib </t>
    </r>
    <r>
      <rPr>
        <sz val="10"/>
        <rFont val="Calibri"/>
        <family val="2"/>
        <scheme val="minor"/>
      </rPr>
      <t xml:space="preserve">wordt aangevoerd in de waterlijn  ? De CZV-vracht van het in de waterlijn aangevoerde slib hoeft niet opgenomen te worden als dit slib al verwerkt is in de CZV-metingen van het influent. Als de CZV niet bekend  is dan kan in de volgende regel met behulp van het drogestofgehalte en de gloeirest toch de CZV-vracht worden berekend. </t>
    </r>
    <r>
      <rPr>
        <u/>
        <sz val="10"/>
        <rFont val="Calibri"/>
        <family val="2"/>
        <scheme val="minor"/>
      </rPr>
      <t>Vul dus één van de twee regels in.</t>
    </r>
  </si>
  <si>
    <r>
      <t xml:space="preserve">Wat is hoeveelheid CZV die jaarlijks met </t>
    </r>
    <r>
      <rPr>
        <u/>
        <sz val="10"/>
        <rFont val="Calibri"/>
        <family val="2"/>
        <scheme val="minor"/>
      </rPr>
      <t>per as aangevoerd extern afvalwater</t>
    </r>
    <r>
      <rPr>
        <sz val="10"/>
        <rFont val="Calibri"/>
        <family val="2"/>
        <scheme val="minor"/>
      </rPr>
      <t xml:space="preserve"> wordt aangevoerd in de waterlijn  ? De CZV-vracht van het in de waterlijn aangevoerd afvalwater hoeft niet opgenomen te worden als dit afvalwater al verwerkt is in de CZV-metingen van het influent. Als de CZV niet bekend  is dan kan in de volgende regel met behulp van het drogestofgehalte en de gloeirest toch de CZV-vracht worden berekend. </t>
    </r>
    <r>
      <rPr>
        <u/>
        <sz val="10"/>
        <rFont val="Calibri"/>
        <family val="2"/>
        <scheme val="minor"/>
      </rPr>
      <t>Vul dus één van de twee regels in.</t>
    </r>
  </si>
  <si>
    <t>kg ds/j</t>
  </si>
  <si>
    <t xml:space="preserve">De totale hoeveelheid CZV die aangevoerd wordt aan de slibgisting </t>
  </si>
  <si>
    <t>Wat is de gewogen asrest van het slib dat aan de slibgisting wordt gevoerd</t>
  </si>
  <si>
    <t>Wat is de totale hoeveelheid slib die aangevoerd op de slibgisting</t>
  </si>
  <si>
    <t>is afgeleid van 50 g CO/GJ</t>
  </si>
  <si>
    <t>is afgeleid van 150 g CO/GJ</t>
  </si>
  <si>
    <t>Wat is de hoeveelheid diesel en/of huisbrandolie die in de WKK('s) cq noodaggregaten als brandstof is gebruikt ?</t>
  </si>
  <si>
    <t xml:space="preserve">De N2O-emissie (lachgas-emissie) is uitgedrukt in g N2O per kg Ntot aangevoerd met het influent op een rwzi. </t>
  </si>
  <si>
    <t>Wat is de totale hoeveelheid afvalwater die jaarlijks met het influent wordt aangevoerd op de rwzi?</t>
  </si>
  <si>
    <t>m3/j</t>
  </si>
  <si>
    <t>7. Parameter NMVOS</t>
  </si>
  <si>
    <t>mg NMVOS/m3 afvalwater</t>
  </si>
  <si>
    <t>emissiefactor tgv de verbranding van biogas</t>
  </si>
  <si>
    <t>emissiefactor tgv de verbranding van aardgas en diesel</t>
  </si>
  <si>
    <t>emissiefactor NMVOS tgv het beluchtingsproces in een aëratietank</t>
  </si>
  <si>
    <t>7.2 Procesemissies</t>
  </si>
  <si>
    <t>emissie MNVOS tgv het beluchtingsproces in een aëratietank</t>
  </si>
  <si>
    <t>kg NMVOS per jaar</t>
  </si>
  <si>
    <t>emissiefactor benzeen [62] tgv het beluchtingsproces in een aëratietank</t>
  </si>
  <si>
    <t>emissiefactor tolueen [73] tgv het beluchtingsproces in een aëratietank</t>
  </si>
  <si>
    <t>emissie benzeen [62] tgv het beluchtingsproces in een aëratietank</t>
  </si>
  <si>
    <t>emissie tolueen [73] tgv het beluchtingsproces in een aëratietank</t>
  </si>
  <si>
    <t>emissie overige NMVOS (stofcode e-MJV 1631)</t>
  </si>
  <si>
    <t>kg overige NMVOS</t>
  </si>
  <si>
    <t xml:space="preserve">In 2024 is de Calcomemis v4-6a.xlsx van IPLO gebruikt om een collectieve emissiefactor te berekenen. Hiervoor zijn CO-meetgegevens gebruikt van tientallen rookgasmeetrapporten. </t>
  </si>
  <si>
    <t>= 60% van D70</t>
  </si>
  <si>
    <t>CO2-emissie tgv aardgasverbranding (in deze berekening is geen rekening gehouden met eventuele methaanslip)</t>
  </si>
  <si>
    <t>emissie vanuit een groengasinstallatie GGI (methaanslip)</t>
  </si>
  <si>
    <t>Proces/biogene CO2-emissie (let op de CO2 die via de CVI is afgevoerd is op het bedrag in mindering gebracht)</t>
  </si>
  <si>
    <t>5. Parameter Stikstofoxiden (NO2/NOx [8]</t>
  </si>
  <si>
    <t>6. Parameter SO2/SOx [11]</t>
  </si>
  <si>
    <t>Help-notities (tekstballonnen) wel/niet weergeven? Ga naar het lintmenu van MS Excel --&gt; Klik op Controleren --&gt; Klik op 'Alle notities weergeven'</t>
  </si>
  <si>
    <t>Datum: 08-03-2024</t>
  </si>
  <si>
    <t>Tab Rekentool luchtgerelateerde Em, cel G42</t>
  </si>
  <si>
    <t>mol/Nm3</t>
  </si>
  <si>
    <t xml:space="preserve">Energie-inhoud </t>
  </si>
  <si>
    <t>MJ/Nm3</t>
  </si>
  <si>
    <t>Specifieke energieinhoud methaan</t>
  </si>
  <si>
    <t>kJ/mol</t>
  </si>
  <si>
    <t>Voor nadere informatie zie:</t>
  </si>
  <si>
    <t>https://www.engineeringtoolbox.com/standard-heat-of-combustion-energy-content-d_1987.html</t>
  </si>
  <si>
    <r>
      <t xml:space="preserve">De inhoud van dit tabblad is verbonden met het tabblad 'Balans CO2 ern CZV'. </t>
    </r>
    <r>
      <rPr>
        <sz val="11"/>
        <color theme="1"/>
        <rFont val="Calibri"/>
        <family val="2"/>
        <scheme val="minor"/>
      </rPr>
      <t>Er zijn geen connecties met andere tabbladen. Wel kunt u de rood</t>
    </r>
    <r>
      <rPr>
        <sz val="11"/>
        <rFont val="Calibri"/>
        <family val="2"/>
        <scheme val="minor"/>
      </rPr>
      <t xml:space="preserve"> gekleurde tabbladen gebruiken voor ondersteunende berekeningen.</t>
    </r>
  </si>
  <si>
    <t>Emissiefactor rapportagejaren 2024, 2025 en 2026</t>
  </si>
  <si>
    <r>
      <t xml:space="preserve">Benodigde informatie per PRTR-plichtige rwzi (vul alleen de </t>
    </r>
    <r>
      <rPr>
        <b/>
        <i/>
        <u/>
        <sz val="14"/>
        <color rgb="FFFFFF00"/>
        <rFont val="Calibri"/>
        <family val="2"/>
        <scheme val="minor"/>
      </rPr>
      <t>geel</t>
    </r>
    <r>
      <rPr>
        <b/>
        <sz val="14"/>
        <color theme="0"/>
        <rFont val="Calibri"/>
        <family val="2"/>
        <scheme val="minor"/>
      </rPr>
      <t xml:space="preserve"> gekleurde vakken in, als het desbetreffende item van toepassing is).</t>
    </r>
  </si>
  <si>
    <t>CO2-emissiefactor in g CO2 per kg diesel of kg HBO</t>
  </si>
  <si>
    <t>tabblad Biogassamenstelling + bijlage 1.3 van STOWA 2014-09</t>
  </si>
  <si>
    <t>Versie: 11-03-2024, 19-01-2025</t>
  </si>
  <si>
    <t>Groengasinstallatie en CO2-vervloeiingsinstallatie</t>
  </si>
  <si>
    <t>CO2-emissiefactor van aardgas in g CO2 per Nm3 aardgas verbrand oftewel g CO2 per Nm3 ae</t>
  </si>
  <si>
    <t>8. Parameter Formaldehyde [95]</t>
  </si>
  <si>
    <t>8.1 Emissiefactoren</t>
  </si>
  <si>
    <t>g formaldehyde per Nm3 biogas</t>
  </si>
  <si>
    <t>8.2 Verbrandingsemissie vanuit de inrichting</t>
  </si>
  <si>
    <t>kg formaldehyde per jaar</t>
  </si>
  <si>
    <r>
      <t xml:space="preserve">Wat is de hoeveelheid biogas die </t>
    </r>
    <r>
      <rPr>
        <b/>
        <sz val="10"/>
        <rFont val="Calibri"/>
        <family val="2"/>
        <scheme val="minor"/>
      </rPr>
      <t xml:space="preserve">gespuid </t>
    </r>
    <r>
      <rPr>
        <sz val="10"/>
        <rFont val="Calibri"/>
        <family val="2"/>
        <scheme val="minor"/>
      </rPr>
      <t>is (dus rechtstreeks geloosd zonder verbranding) ? Deze hoeveelheid valt onder 'accidentele lozing'.</t>
    </r>
  </si>
  <si>
    <r>
      <t xml:space="preserve">Wat is de hoeveelheid biogas die is verwerkt door de </t>
    </r>
    <r>
      <rPr>
        <b/>
        <sz val="10"/>
        <rFont val="Calibri"/>
        <family val="2"/>
        <scheme val="minor"/>
      </rPr>
      <t>groengasinstallatie</t>
    </r>
    <r>
      <rPr>
        <sz val="10"/>
        <rFont val="Calibri"/>
        <family val="2"/>
        <scheme val="minor"/>
      </rPr>
      <t xml:space="preserve"> (GGI), eventueel in combinatie met een CO2-vervloeiingsinstallatie (CVI) ? Let op: het gaat hier dus om de m3 biogas (CH4 en CO2, dus niet de doorgeleverde m3 gas van vermoedelijk aardgaskwaliteit) !! </t>
    </r>
  </si>
  <si>
    <r>
      <t xml:space="preserve">Wat is de hoeveelheid biogas, zonder dat het biogas een bewerking heeft ondergaan, die is </t>
    </r>
    <r>
      <rPr>
        <b/>
        <sz val="10"/>
        <rFont val="Calibri"/>
        <family val="2"/>
        <scheme val="minor"/>
      </rPr>
      <t>doorgeleverd</t>
    </r>
    <r>
      <rPr>
        <sz val="10"/>
        <rFont val="Calibri"/>
        <family val="2"/>
        <scheme val="minor"/>
      </rPr>
      <t xml:space="preserve"> aan derden ? </t>
    </r>
  </si>
  <si>
    <t>- CO2-emissie vanuit de turbo WKK-verbrandingstoestellen (betreft het CO2-aandeel én het CO2 van de verbrande CH4. De methaanslip (dat is onverbrande CH4) is in mindering gebracht)</t>
  </si>
  <si>
    <t>afvoer van vloeibare CO2 van een CVI (CO2-vervloeiingsinstallatie)</t>
  </si>
  <si>
    <t xml:space="preserve">Revisie luchtgerelateerde emissiefactoren CO, NOx, SO2. 
Inpassing CH4- en N2O-emissiefactor van de Refinement 2019 IPCC
Aanpassing emissiefactoren adh van de RVO-tabel 2024 (Nederlandse lijst van energiedragers en standaard CO2 emissiefactoren, versie januari 2024). 
Toevoeging procesapparatuur zoals groengasinstallatie (GGI) alsmede de combinatie van een groengas- en CO2-vervloeiingsinstallatie combinatie. De CO2-hoeveelheid (in ton) die afgevoerd wordt wordt in mindering gebracht op de luchtgerelateerde CO2-uitstoot vanuit de rwzi.  
In de Rekentool is een formaldehyde vracht berekening opgenomen. Het betreft een luchtgerelateerde emissiefactor. Omdat de  emissiefactor gebaseerd is op weinig waarnemingen en niet afgestemd is met het BG is deze alleen informatief bedoeld. Bovendien biedt het e-MJV niet de mogelijkheid om de emissie van formaldehyde separaat te rapporteren.  
Zuiveringbeheerders en het bevoegd gezag kunnen aan de hand van de emissiefactor en berekeningen een indruk krijgen van de mogelijke omvang van formaldehyde emissies. </t>
  </si>
  <si>
    <r>
      <t xml:space="preserve">Foutieve verwijzingen in diverse Notities van G39 verandert in G40. Ook foutieve verwijzingen in Notities naar respectievelijk cellen D55 en D56  gecorrigeerd naar D56 en D57.
Aangegeven dat in tabblad Rekentool luchtgerelateerde Em en wel in cel G40 een CH4-aandeel ingevuld </t>
    </r>
    <r>
      <rPr>
        <b/>
        <sz val="10"/>
        <rFont val="Calibri"/>
        <family val="2"/>
      </rPr>
      <t>moet</t>
    </r>
    <r>
      <rPr>
        <sz val="10"/>
        <rFont val="Calibri"/>
        <family val="2"/>
      </rPr>
      <t xml:space="preserve"> worden. </t>
    </r>
  </si>
  <si>
    <t xml:space="preserve">In tabblad "Rekentool watergerelateerde Em" zijn de watergerelateerde emissiefactoren aangepast op basis van het E-PRTR-2024-onderzoek, zoals gerapporteerd in STOWA-rapport 2024-45. Dit geldt voor de emissiefactoren van zowel de metalen als de andere stoffen.
Eenheid in cel C57 van tabblad "Rekentool luchtgerelateerde Em" is veranderd van "CO2-emissiefactor in kg CO2 per kg diesel of kg HBO" in "CO2-emissiefactor in g CO2 per kg diesel of kg HBO". 
In het tabblad "Balans CO2 en CZV" is in cel I14 een post opgenomen voor de CO2 die in vloeibare vorm wordt afgevoerd waardoor de balans nu meer de werkelijkheid vertegenwoordigt. 
Voorts zijn enkele spelfouten opgelost.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</si>
</sst>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 #,##0.00_ ;_ * \-#,##0.00_ ;_ * &quot;-&quot;??_ ;_ @_ "/>
    <numFmt numFmtId="164" formatCode="_-&quot;€&quot;\ * #,##0.00_-;_-&quot;€&quot;\ * #,##0.00\-;_-&quot;€&quot;\ * &quot;-&quot;??_-;_-@_-"/>
    <numFmt numFmtId="165" formatCode="_-* #,##0.00_-;_-* #,##0.00\-;_-* &quot;-&quot;??_-;_-@_-"/>
    <numFmt numFmtId="166" formatCode="_-* #,##0_-;_-* #,##0\-;_-* &quot;-&quot;??_-;_-@_-"/>
    <numFmt numFmtId="167" formatCode="0.000"/>
    <numFmt numFmtId="168" formatCode="#,##0.000"/>
    <numFmt numFmtId="169" formatCode="_-* #,##0.000_-;_-* #,##0.000\-;_-* &quot;-&quot;??_-;_-@_-"/>
    <numFmt numFmtId="170" formatCode="_-* #,##0.0000_-;_-* #,##0.0000\-;_-* &quot;-&quot;??_-;_-@_-"/>
    <numFmt numFmtId="171" formatCode="_-* #,##0.000000_-;_-* #,##0.000000\-;_-* &quot;-&quot;??_-;_-@_-"/>
    <numFmt numFmtId="172" formatCode="_-* #,##0.0_-;_-* #,##0.0\-;_-* &quot;-&quot;??_-;_-@_-"/>
    <numFmt numFmtId="173" formatCode="0.0"/>
    <numFmt numFmtId="174" formatCode="_ * #,##0_ ;_ * \-#,##0_ ;_ * &quot;-&quot;?_ ;_ @_ "/>
    <numFmt numFmtId="175" formatCode="0.0%"/>
    <numFmt numFmtId="176" formatCode="#,##0_ ;\-#,##0\ "/>
    <numFmt numFmtId="177" formatCode="_ * #,##0_ ;_ * \-#,##0_ ;_ * &quot;-&quot;??_ ;_ @_ "/>
    <numFmt numFmtId="178" formatCode="0.00000"/>
    <numFmt numFmtId="179" formatCode="0.00000000"/>
    <numFmt numFmtId="180" formatCode="_ * #,##0.000_ ;_ * \-#,##0.000_ ;_ * &quot;-&quot;???_ ;_ @_ "/>
    <numFmt numFmtId="181" formatCode="#,##0.0000"/>
    <numFmt numFmtId="182" formatCode="#,##0.0"/>
    <numFmt numFmtId="183" formatCode="_ * #,##0.0_ ;_ * \-#,##0.0_ ;_ * &quot;-&quot;?_ ;_ @_ "/>
    <numFmt numFmtId="184" formatCode="_ * #,##0.0_ ;_ * \-#,##0.0_ ;_ * &quot;-&quot;??_ ;_ @_ "/>
  </numFmts>
  <fonts count="79"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1"/>
      <color theme="1"/>
      <name val="Calibri"/>
      <family val="2"/>
    </font>
    <font>
      <sz val="10"/>
      <name val="Calibri"/>
      <family val="2"/>
      <scheme val="minor"/>
    </font>
    <font>
      <sz val="8"/>
      <name val="Calibri"/>
      <family val="2"/>
      <scheme val="minor"/>
    </font>
    <font>
      <b/>
      <sz val="8"/>
      <name val="Calibri"/>
      <family val="2"/>
      <scheme val="minor"/>
    </font>
    <font>
      <b/>
      <sz val="10"/>
      <name val="Calibri"/>
      <family val="2"/>
      <scheme val="minor"/>
    </font>
    <font>
      <b/>
      <sz val="10"/>
      <color rgb="FF0000FF"/>
      <name val="Calibri"/>
      <family val="2"/>
      <scheme val="minor"/>
    </font>
    <font>
      <vertAlign val="subscript"/>
      <sz val="10"/>
      <name val="Calibri"/>
      <family val="2"/>
      <scheme val="minor"/>
    </font>
    <font>
      <sz val="9"/>
      <color indexed="81"/>
      <name val="Calibri"/>
      <family val="2"/>
      <scheme val="minor"/>
    </font>
    <font>
      <u/>
      <sz val="10"/>
      <name val="Calibri"/>
      <family val="2"/>
      <scheme val="minor"/>
    </font>
    <font>
      <b/>
      <vertAlign val="subscript"/>
      <sz val="10"/>
      <name val="Calibri"/>
      <family val="2"/>
      <scheme val="minor"/>
    </font>
    <font>
      <b/>
      <sz val="12"/>
      <name val="Calibri"/>
      <family val="2"/>
      <scheme val="minor"/>
    </font>
    <font>
      <i/>
      <sz val="8"/>
      <name val="Calibri"/>
      <family val="2"/>
      <scheme val="minor"/>
    </font>
    <font>
      <b/>
      <sz val="14"/>
      <name val="Calibri"/>
      <family val="2"/>
      <scheme val="minor"/>
    </font>
    <font>
      <sz val="9"/>
      <color indexed="81"/>
      <name val="Tahoma"/>
      <family val="2"/>
    </font>
    <font>
      <b/>
      <sz val="9"/>
      <color indexed="81"/>
      <name val="Tahoma"/>
      <family val="2"/>
    </font>
    <font>
      <b/>
      <sz val="16"/>
      <name val="Calibri"/>
      <family val="2"/>
      <scheme val="minor"/>
    </font>
    <font>
      <sz val="9"/>
      <name val="Calibri"/>
      <family val="2"/>
      <scheme val="minor"/>
    </font>
    <font>
      <b/>
      <sz val="14"/>
      <color theme="0"/>
      <name val="Calibri"/>
      <family val="2"/>
      <scheme val="minor"/>
    </font>
    <font>
      <sz val="8"/>
      <color theme="0"/>
      <name val="Calibri"/>
      <family val="2"/>
      <scheme val="minor"/>
    </font>
    <font>
      <sz val="10"/>
      <color theme="0"/>
      <name val="Calibri"/>
      <family val="2"/>
      <scheme val="minor"/>
    </font>
    <font>
      <b/>
      <i/>
      <u/>
      <sz val="14"/>
      <color rgb="FFFFFF00"/>
      <name val="Calibri"/>
      <family val="2"/>
      <scheme val="minor"/>
    </font>
    <font>
      <b/>
      <u/>
      <sz val="10"/>
      <name val="Calibri"/>
      <family val="2"/>
      <scheme val="minor"/>
    </font>
    <font>
      <i/>
      <sz val="10"/>
      <name val="Calibri"/>
      <family val="2"/>
      <scheme val="minor"/>
    </font>
    <font>
      <sz val="11"/>
      <name val="Calibri"/>
      <family val="2"/>
      <scheme val="minor"/>
    </font>
    <font>
      <b/>
      <sz val="11"/>
      <name val="Calibri"/>
      <family val="2"/>
      <scheme val="minor"/>
    </font>
    <font>
      <i/>
      <sz val="11"/>
      <name val="Calibri"/>
      <family val="2"/>
      <scheme val="minor"/>
    </font>
    <font>
      <b/>
      <sz val="14"/>
      <color rgb="FFFF0000"/>
      <name val="Calibri"/>
      <family val="2"/>
      <scheme val="minor"/>
    </font>
    <font>
      <b/>
      <i/>
      <sz val="11"/>
      <name val="Calibri"/>
      <family val="2"/>
      <scheme val="minor"/>
    </font>
    <font>
      <sz val="11"/>
      <name val="Calibri"/>
      <family val="2"/>
    </font>
    <font>
      <b/>
      <sz val="11"/>
      <name val="Calibri"/>
      <family val="2"/>
    </font>
    <font>
      <b/>
      <sz val="16"/>
      <name val="Calibri"/>
      <family val="2"/>
    </font>
    <font>
      <sz val="10"/>
      <name val="Calibri"/>
      <family val="2"/>
    </font>
    <font>
      <b/>
      <sz val="14"/>
      <name val="Calibri"/>
      <family val="2"/>
    </font>
    <font>
      <b/>
      <sz val="10"/>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10"/>
      <name val="Arial"/>
      <family val="2"/>
    </font>
    <font>
      <u/>
      <sz val="10"/>
      <color theme="10"/>
      <name val="Arial"/>
      <family val="2"/>
    </font>
    <font>
      <vertAlign val="superscript"/>
      <sz val="11"/>
      <name val="Calibri"/>
      <family val="2"/>
      <scheme val="minor"/>
    </font>
    <font>
      <b/>
      <sz val="10"/>
      <name val="Calibri"/>
      <family val="2"/>
    </font>
    <font>
      <b/>
      <vertAlign val="superscript"/>
      <sz val="10"/>
      <name val="Calibri"/>
      <family val="2"/>
    </font>
    <font>
      <u/>
      <sz val="11"/>
      <name val="Calibri"/>
      <family val="2"/>
      <scheme val="minor"/>
    </font>
    <font>
      <sz val="10"/>
      <color rgb="FFFF0000"/>
      <name val="Calibri"/>
      <family val="2"/>
      <scheme val="minor"/>
    </font>
    <font>
      <b/>
      <sz val="10"/>
      <color indexed="81"/>
      <name val="Calibri"/>
      <family val="2"/>
      <scheme val="minor"/>
    </font>
    <font>
      <sz val="10"/>
      <color indexed="81"/>
      <name val="Calibri"/>
      <family val="2"/>
      <scheme val="minor"/>
    </font>
    <font>
      <b/>
      <sz val="10"/>
      <color theme="6" tint="-0.499984740745262"/>
      <name val="Calibri"/>
      <family val="2"/>
      <scheme val="minor"/>
    </font>
    <font>
      <sz val="10"/>
      <color theme="1"/>
      <name val="Calibri"/>
      <family val="2"/>
      <scheme val="minor"/>
    </font>
    <font>
      <sz val="10"/>
      <name val="Arial"/>
      <family val="2"/>
    </font>
    <font>
      <vertAlign val="subscript"/>
      <sz val="11"/>
      <name val="Calibri"/>
      <family val="2"/>
      <scheme val="minor"/>
    </font>
    <font>
      <b/>
      <sz val="11"/>
      <color rgb="FFFF0000"/>
      <name val="Calibri"/>
      <family val="2"/>
      <scheme val="minor"/>
    </font>
    <font>
      <sz val="10"/>
      <color theme="1"/>
      <name val="Arial"/>
      <family val="2"/>
    </font>
    <font>
      <b/>
      <sz val="12"/>
      <color theme="1"/>
      <name val="Calibri"/>
      <family val="2"/>
      <scheme val="minor"/>
    </font>
    <font>
      <b/>
      <sz val="10"/>
      <color theme="1"/>
      <name val="Calibri"/>
      <family val="2"/>
      <scheme val="minor"/>
    </font>
    <font>
      <sz val="11"/>
      <color theme="6" tint="-0.499984740745262"/>
      <name val="Calibri"/>
      <family val="2"/>
      <scheme val="minor"/>
    </font>
    <font>
      <b/>
      <sz val="12"/>
      <color rgb="FFFF0000"/>
      <name val="Calibri"/>
      <family val="2"/>
      <scheme val="minor"/>
    </font>
    <font>
      <b/>
      <sz val="10"/>
      <color indexed="81"/>
      <name val="Tahoma"/>
      <family val="2"/>
    </font>
    <font>
      <sz val="10"/>
      <color indexed="81"/>
      <name val="Tahoma"/>
      <family val="2"/>
    </font>
  </fonts>
  <fills count="41">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indexed="42"/>
        <bgColor indexed="64"/>
      </patternFill>
    </fill>
    <fill>
      <patternFill patternType="solid">
        <fgColor theme="0" tint="-0.14996795556505021"/>
        <bgColor indexed="64"/>
      </patternFill>
    </fill>
    <fill>
      <patternFill patternType="solid">
        <fgColor theme="0" tint="-0.34998626667073579"/>
        <bgColor indexed="64"/>
      </patternFill>
    </fill>
  </fills>
  <borders count="40">
    <border>
      <left/>
      <right/>
      <top/>
      <bottom/>
      <diagonal/>
    </border>
    <border>
      <left/>
      <right/>
      <top style="thick">
        <color auto="1"/>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medium">
        <color auto="1"/>
      </top>
      <bottom/>
      <diagonal/>
    </border>
    <border>
      <left/>
      <right/>
      <top style="medium">
        <color auto="1"/>
      </top>
      <bottom/>
      <diagonal/>
    </border>
    <border>
      <left/>
      <right style="thick">
        <color auto="1"/>
      </right>
      <top style="medium">
        <color auto="1"/>
      </top>
      <bottom/>
      <diagonal/>
    </border>
    <border>
      <left style="thick">
        <color auto="1"/>
      </left>
      <right/>
      <top/>
      <bottom style="medium">
        <color auto="1"/>
      </bottom>
      <diagonal/>
    </border>
    <border>
      <left/>
      <right style="thick">
        <color auto="1"/>
      </right>
      <top/>
      <bottom style="medium">
        <color auto="1"/>
      </bottom>
      <diagonal/>
    </border>
    <border>
      <left/>
      <right/>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style="thick">
        <color auto="1"/>
      </top>
      <bottom style="thin">
        <color auto="1"/>
      </bottom>
      <diagonal/>
    </border>
    <border>
      <left/>
      <right/>
      <top style="thick">
        <color auto="1"/>
      </top>
      <bottom style="thin">
        <color auto="1"/>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32">
    <xf numFmtId="0" fontId="0" fillId="0" borderId="0"/>
    <xf numFmtId="164" fontId="5" fillId="0" borderId="0" applyFont="0" applyFill="0" applyBorder="0" applyAlignment="0" applyProtection="0"/>
    <xf numFmtId="0" fontId="6" fillId="0" borderId="0" applyNumberFormat="0" applyFill="0" applyBorder="0" applyAlignment="0" applyProtection="0">
      <alignment vertical="top"/>
      <protection locked="0"/>
    </xf>
    <xf numFmtId="165" fontId="5" fillId="0" borderId="0" applyFont="0" applyFill="0" applyBorder="0" applyAlignment="0" applyProtection="0"/>
    <xf numFmtId="0" fontId="5" fillId="0" borderId="0"/>
    <xf numFmtId="0" fontId="7" fillId="0" borderId="0"/>
    <xf numFmtId="165" fontId="5" fillId="0" borderId="0" applyFont="0" applyFill="0" applyBorder="0" applyAlignment="0" applyProtection="0"/>
    <xf numFmtId="9" fontId="5" fillId="0" borderId="0" applyFont="0" applyFill="0" applyBorder="0" applyAlignment="0" applyProtection="0"/>
    <xf numFmtId="0" fontId="41" fillId="0" borderId="0" applyNumberFormat="0" applyFill="0" applyBorder="0" applyAlignment="0" applyProtection="0"/>
    <xf numFmtId="0" fontId="42" fillId="0" borderId="25" applyNumberFormat="0" applyFill="0" applyAlignment="0" applyProtection="0"/>
    <xf numFmtId="0" fontId="43" fillId="0" borderId="26" applyNumberFormat="0" applyFill="0" applyAlignment="0" applyProtection="0"/>
    <xf numFmtId="0" fontId="44" fillId="0" borderId="27" applyNumberFormat="0" applyFill="0" applyAlignment="0" applyProtection="0"/>
    <xf numFmtId="0" fontId="44" fillId="0" borderId="0" applyNumberFormat="0" applyFill="0" applyBorder="0" applyAlignment="0" applyProtection="0"/>
    <xf numFmtId="0" fontId="45" fillId="6" borderId="0" applyNumberFormat="0" applyBorder="0" applyAlignment="0" applyProtection="0"/>
    <xf numFmtId="0" fontId="46" fillId="7" borderId="0" applyNumberFormat="0" applyBorder="0" applyAlignment="0" applyProtection="0"/>
    <xf numFmtId="0" fontId="47" fillId="8" borderId="0" applyNumberFormat="0" applyBorder="0" applyAlignment="0" applyProtection="0"/>
    <xf numFmtId="0" fontId="48" fillId="9" borderId="28" applyNumberFormat="0" applyAlignment="0" applyProtection="0"/>
    <xf numFmtId="0" fontId="49" fillId="10" borderId="29" applyNumberFormat="0" applyAlignment="0" applyProtection="0"/>
    <xf numFmtId="0" fontId="50" fillId="10" borderId="28" applyNumberFormat="0" applyAlignment="0" applyProtection="0"/>
    <xf numFmtId="0" fontId="51" fillId="0" borderId="30" applyNumberFormat="0" applyFill="0" applyAlignment="0" applyProtection="0"/>
    <xf numFmtId="0" fontId="52" fillId="11" borderId="31" applyNumberFormat="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33" applyNumberFormat="0" applyFill="0" applyAlignment="0" applyProtection="0"/>
    <xf numFmtId="0" fontId="5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56" fillId="36" borderId="0" applyNumberFormat="0" applyBorder="0" applyAlignment="0" applyProtection="0"/>
    <xf numFmtId="0" fontId="57" fillId="0" borderId="0"/>
    <xf numFmtId="43" fontId="57" fillId="0" borderId="0" applyFont="0" applyFill="0" applyBorder="0" applyAlignment="0" applyProtection="0"/>
    <xf numFmtId="0" fontId="5" fillId="0" borderId="0"/>
    <xf numFmtId="0" fontId="57" fillId="0" borderId="0"/>
    <xf numFmtId="43" fontId="57" fillId="0" borderId="0" applyFont="0" applyFill="0" applyBorder="0" applyAlignment="0" applyProtection="0"/>
    <xf numFmtId="9" fontId="57" fillId="0" borderId="0" applyFont="0" applyFill="0" applyBorder="0" applyAlignment="0" applyProtection="0"/>
    <xf numFmtId="0" fontId="4" fillId="0" borderId="0"/>
    <xf numFmtId="9" fontId="4" fillId="0" borderId="0" applyFont="0" applyFill="0" applyBorder="0" applyAlignment="0" applyProtection="0"/>
    <xf numFmtId="0" fontId="4" fillId="12" borderId="32" applyNumberFormat="0" applyFont="0" applyAlignment="0" applyProtection="0"/>
    <xf numFmtId="0" fontId="5" fillId="0" borderId="0"/>
    <xf numFmtId="9" fontId="5" fillId="0" borderId="0" applyFont="0" applyFill="0" applyBorder="0" applyAlignment="0" applyProtection="0"/>
    <xf numFmtId="165" fontId="5" fillId="0" borderId="0" applyFont="0" applyFill="0" applyBorder="0" applyAlignment="0" applyProtection="0"/>
    <xf numFmtId="0" fontId="7"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0" fontId="7" fillId="0" borderId="0"/>
    <xf numFmtId="0" fontId="5" fillId="0" borderId="0"/>
    <xf numFmtId="165" fontId="5"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12" borderId="32" applyNumberFormat="0" applyFont="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58" fillId="0" borderId="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0" borderId="0"/>
    <xf numFmtId="9" fontId="3" fillId="0" borderId="0" applyFont="0" applyFill="0" applyBorder="0" applyAlignment="0" applyProtection="0"/>
    <xf numFmtId="0" fontId="3" fillId="12" borderId="32" applyNumberFormat="0" applyFont="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32" applyNumberFormat="0" applyFont="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6"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165" fontId="5" fillId="0" borderId="0" applyFont="0" applyFill="0" applyBorder="0" applyAlignment="0" applyProtection="0"/>
    <xf numFmtId="165" fontId="5" fillId="0" borderId="0" applyFont="0" applyFill="0" applyBorder="0" applyAlignment="0" applyProtection="0"/>
    <xf numFmtId="0" fontId="69" fillId="0" borderId="0"/>
    <xf numFmtId="0" fontId="59" fillId="0" borderId="0" applyNumberFormat="0" applyFill="0" applyBorder="0" applyAlignment="0" applyProtection="0"/>
  </cellStyleXfs>
  <cellXfs count="359">
    <xf numFmtId="0" fontId="0" fillId="0" borderId="0" xfId="0"/>
    <xf numFmtId="0" fontId="8" fillId="0" borderId="0" xfId="0" applyFont="1"/>
    <xf numFmtId="0" fontId="8" fillId="0" borderId="0" xfId="0" applyFont="1" applyAlignment="1">
      <alignment horizontal="left"/>
    </xf>
    <xf numFmtId="0" fontId="9" fillId="0" borderId="0" xfId="0" applyFont="1" applyAlignment="1">
      <alignment horizontal="left" vertical="top" wrapText="1"/>
    </xf>
    <xf numFmtId="0" fontId="9" fillId="0" borderId="0" xfId="0" applyFont="1" applyAlignment="1">
      <alignment vertical="top" wrapText="1"/>
    </xf>
    <xf numFmtId="0" fontId="10" fillId="0" borderId="0" xfId="0" applyFont="1" applyAlignment="1">
      <alignment horizontal="left" vertical="top" wrapText="1"/>
    </xf>
    <xf numFmtId="0" fontId="10" fillId="0" borderId="0" xfId="0" applyFont="1" applyAlignment="1">
      <alignment horizontal="right" vertical="top" wrapText="1"/>
    </xf>
    <xf numFmtId="0" fontId="10" fillId="0" borderId="0" xfId="0" applyFont="1" applyAlignment="1">
      <alignment horizontal="right"/>
    </xf>
    <xf numFmtId="0" fontId="10" fillId="0" borderId="0" xfId="0" applyFont="1" applyAlignment="1">
      <alignment horizontal="left" wrapText="1"/>
    </xf>
    <xf numFmtId="0" fontId="9" fillId="0" borderId="0" xfId="0" applyFont="1" applyAlignment="1">
      <alignment horizontal="right"/>
    </xf>
    <xf numFmtId="1" fontId="8" fillId="2" borderId="0" xfId="0" applyNumberFormat="1" applyFont="1" applyFill="1" applyAlignment="1">
      <alignment horizontal="center"/>
    </xf>
    <xf numFmtId="169" fontId="8" fillId="0" borderId="0" xfId="6" applyNumberFormat="1" applyFont="1" applyBorder="1"/>
    <xf numFmtId="0" fontId="10" fillId="0" borderId="0" xfId="0" applyFont="1" applyAlignment="1">
      <alignment horizontal="left"/>
    </xf>
    <xf numFmtId="166" fontId="8" fillId="0" borderId="0" xfId="6" applyNumberFormat="1" applyFont="1" applyBorder="1"/>
    <xf numFmtId="170" fontId="8" fillId="0" borderId="0" xfId="6" applyNumberFormat="1" applyFont="1" applyBorder="1"/>
    <xf numFmtId="0" fontId="11" fillId="0" borderId="0" xfId="0" applyFont="1"/>
    <xf numFmtId="166" fontId="9" fillId="0" borderId="0" xfId="0" applyNumberFormat="1" applyFont="1" applyAlignment="1">
      <alignment horizontal="right"/>
    </xf>
    <xf numFmtId="0" fontId="11" fillId="0" borderId="1" xfId="0" applyFont="1" applyBorder="1" applyAlignment="1">
      <alignment horizontal="left" vertical="top" wrapText="1"/>
    </xf>
    <xf numFmtId="166" fontId="10" fillId="0" borderId="5" xfId="0" applyNumberFormat="1" applyFont="1" applyBorder="1" applyAlignment="1">
      <alignment horizontal="right"/>
    </xf>
    <xf numFmtId="166" fontId="9" fillId="0" borderId="5" xfId="0" applyNumberFormat="1" applyFont="1" applyBorder="1" applyAlignment="1">
      <alignment horizontal="right"/>
    </xf>
    <xf numFmtId="166" fontId="8" fillId="0" borderId="5" xfId="6" applyNumberFormat="1" applyFont="1" applyBorder="1"/>
    <xf numFmtId="171" fontId="8" fillId="0" borderId="0" xfId="6" applyNumberFormat="1" applyFont="1" applyBorder="1"/>
    <xf numFmtId="172" fontId="9" fillId="0" borderId="0" xfId="0" applyNumberFormat="1" applyFont="1" applyAlignment="1">
      <alignment horizontal="right"/>
    </xf>
    <xf numFmtId="165" fontId="9" fillId="0" borderId="0" xfId="0" applyNumberFormat="1" applyFont="1" applyAlignment="1">
      <alignment horizontal="right"/>
    </xf>
    <xf numFmtId="0" fontId="8" fillId="0" borderId="0" xfId="0" applyFont="1" applyAlignment="1">
      <alignment horizontal="right"/>
    </xf>
    <xf numFmtId="0" fontId="8" fillId="0" borderId="0" xfId="0" applyFont="1" applyAlignment="1">
      <alignment horizontal="center" vertical="center" wrapText="1"/>
    </xf>
    <xf numFmtId="0" fontId="9" fillId="0" borderId="0" xfId="0" applyFont="1" applyAlignment="1">
      <alignment horizontal="center" vertical="center" wrapText="1"/>
    </xf>
    <xf numFmtId="0" fontId="10" fillId="0" borderId="4" xfId="0" applyFont="1" applyBorder="1" applyAlignment="1">
      <alignment horizontal="center" wrapText="1"/>
    </xf>
    <xf numFmtId="0" fontId="10" fillId="0" borderId="12" xfId="0" applyFont="1" applyBorder="1" applyAlignment="1">
      <alignment horizontal="center" wrapText="1"/>
    </xf>
    <xf numFmtId="166" fontId="8" fillId="0" borderId="13" xfId="6" applyNumberFormat="1" applyFont="1" applyBorder="1"/>
    <xf numFmtId="0" fontId="11" fillId="0" borderId="3" xfId="0" applyFont="1" applyBorder="1" applyAlignment="1">
      <alignment horizontal="center" vertical="top" wrapText="1"/>
    </xf>
    <xf numFmtId="166" fontId="12" fillId="0" borderId="5" xfId="6" applyNumberFormat="1" applyFont="1" applyFill="1" applyBorder="1" applyAlignment="1">
      <alignment horizontal="center" vertical="center"/>
    </xf>
    <xf numFmtId="0" fontId="10" fillId="0" borderId="14" xfId="0" applyFont="1" applyBorder="1" applyAlignment="1">
      <alignment horizontal="left" wrapText="1"/>
    </xf>
    <xf numFmtId="0" fontId="17" fillId="0" borderId="0" xfId="0" applyFont="1" applyAlignment="1">
      <alignment horizontal="left"/>
    </xf>
    <xf numFmtId="166" fontId="8" fillId="0" borderId="5" xfId="6" applyNumberFormat="1" applyFont="1" applyFill="1" applyBorder="1"/>
    <xf numFmtId="0" fontId="9" fillId="0" borderId="14" xfId="0" applyFont="1" applyBorder="1" applyAlignment="1">
      <alignment horizontal="right"/>
    </xf>
    <xf numFmtId="0" fontId="9" fillId="0" borderId="0" xfId="0" quotePrefix="1" applyFont="1" applyAlignment="1">
      <alignment horizontal="left"/>
    </xf>
    <xf numFmtId="2" fontId="9" fillId="0" borderId="0" xfId="0" applyNumberFormat="1" applyFont="1" applyAlignment="1">
      <alignment horizontal="right"/>
    </xf>
    <xf numFmtId="0" fontId="9" fillId="0" borderId="0" xfId="0" applyFont="1" applyAlignment="1">
      <alignment horizontal="left"/>
    </xf>
    <xf numFmtId="2" fontId="18" fillId="0" borderId="0" xfId="0" applyNumberFormat="1" applyFont="1" applyAlignment="1">
      <alignment horizontal="right"/>
    </xf>
    <xf numFmtId="166" fontId="10" fillId="0" borderId="0" xfId="0" applyNumberFormat="1" applyFont="1" applyAlignment="1">
      <alignment horizontal="right"/>
    </xf>
    <xf numFmtId="1" fontId="8" fillId="0" borderId="0" xfId="0" applyNumberFormat="1" applyFont="1" applyAlignment="1">
      <alignment horizontal="center"/>
    </xf>
    <xf numFmtId="166" fontId="9" fillId="0" borderId="14" xfId="0" applyNumberFormat="1" applyFont="1" applyBorder="1" applyAlignment="1">
      <alignment horizontal="right"/>
    </xf>
    <xf numFmtId="1" fontId="8" fillId="0" borderId="14" xfId="0" applyNumberFormat="1" applyFont="1" applyBorder="1" applyAlignment="1">
      <alignment horizontal="center"/>
    </xf>
    <xf numFmtId="0" fontId="10" fillId="0" borderId="14" xfId="0" quotePrefix="1" applyFont="1" applyBorder="1" applyAlignment="1">
      <alignment horizontal="right" wrapText="1"/>
    </xf>
    <xf numFmtId="166" fontId="10" fillId="0" borderId="14" xfId="0" applyNumberFormat="1" applyFont="1" applyBorder="1" applyAlignment="1">
      <alignment horizontal="right"/>
    </xf>
    <xf numFmtId="0" fontId="8" fillId="0" borderId="14" xfId="0" applyFont="1" applyBorder="1"/>
    <xf numFmtId="0" fontId="9" fillId="0" borderId="14" xfId="0" applyFont="1" applyBorder="1" applyAlignment="1">
      <alignment horizontal="left"/>
    </xf>
    <xf numFmtId="0" fontId="19" fillId="0" borderId="2" xfId="0" applyFont="1" applyBorder="1" applyAlignment="1">
      <alignment horizontal="left" vertical="top"/>
    </xf>
    <xf numFmtId="0" fontId="10" fillId="0" borderId="1" xfId="0" applyFont="1" applyBorder="1" applyAlignment="1">
      <alignment horizontal="right" vertical="top" wrapText="1"/>
    </xf>
    <xf numFmtId="0" fontId="10" fillId="0" borderId="3" xfId="0" applyFont="1" applyBorder="1" applyAlignment="1">
      <alignment horizontal="right" vertical="top" wrapText="1"/>
    </xf>
    <xf numFmtId="0" fontId="8" fillId="0" borderId="4" xfId="0" applyFont="1" applyBorder="1"/>
    <xf numFmtId="1" fontId="8" fillId="0" borderId="5" xfId="0" applyNumberFormat="1" applyFont="1" applyBorder="1" applyAlignment="1">
      <alignment horizontal="center"/>
    </xf>
    <xf numFmtId="0" fontId="8" fillId="0" borderId="4" xfId="0" applyFont="1" applyBorder="1" applyAlignment="1">
      <alignment horizontal="left"/>
    </xf>
    <xf numFmtId="0" fontId="8" fillId="0" borderId="5" xfId="0" applyFont="1" applyBorder="1"/>
    <xf numFmtId="166" fontId="9" fillId="0" borderId="13" xfId="0" applyNumberFormat="1" applyFont="1" applyBorder="1" applyAlignment="1">
      <alignment horizontal="right"/>
    </xf>
    <xf numFmtId="0" fontId="8" fillId="0" borderId="6" xfId="0" applyFont="1" applyBorder="1" applyAlignment="1">
      <alignment horizontal="left"/>
    </xf>
    <xf numFmtId="0" fontId="9" fillId="0" borderId="7" xfId="0" applyFont="1" applyBorder="1" applyAlignment="1">
      <alignment horizontal="left" vertical="top" wrapText="1"/>
    </xf>
    <xf numFmtId="0" fontId="8" fillId="0" borderId="7" xfId="0" applyFont="1" applyBorder="1"/>
    <xf numFmtId="0" fontId="8" fillId="0" borderId="8" xfId="0" applyFont="1" applyBorder="1"/>
    <xf numFmtId="0" fontId="11" fillId="0" borderId="0" xfId="0" applyFont="1" applyAlignment="1">
      <alignment horizontal="left" wrapText="1"/>
    </xf>
    <xf numFmtId="0" fontId="11" fillId="0" borderId="0" xfId="0" applyFont="1" applyAlignment="1">
      <alignment horizontal="right"/>
    </xf>
    <xf numFmtId="166" fontId="11" fillId="0" borderId="0" xfId="0" applyNumberFormat="1" applyFont="1" applyAlignment="1">
      <alignment horizontal="right"/>
    </xf>
    <xf numFmtId="1" fontId="11" fillId="2" borderId="0" xfId="0" applyNumberFormat="1" applyFont="1" applyFill="1" applyAlignment="1">
      <alignment horizontal="center"/>
    </xf>
    <xf numFmtId="166" fontId="11" fillId="0" borderId="5" xfId="6" applyNumberFormat="1" applyFont="1" applyBorder="1"/>
    <xf numFmtId="0" fontId="11" fillId="0" borderId="0" xfId="0" quotePrefix="1" applyFont="1" applyAlignment="1">
      <alignment horizontal="right" wrapText="1"/>
    </xf>
    <xf numFmtId="1" fontId="11" fillId="0" borderId="0" xfId="0" applyNumberFormat="1" applyFont="1" applyAlignment="1">
      <alignment horizontal="center"/>
    </xf>
    <xf numFmtId="0" fontId="11" fillId="0" borderId="0" xfId="0" quotePrefix="1" applyFont="1" applyAlignment="1">
      <alignment horizontal="left"/>
    </xf>
    <xf numFmtId="166" fontId="11" fillId="0" borderId="0" xfId="0" applyNumberFormat="1" applyFont="1"/>
    <xf numFmtId="0" fontId="11" fillId="0" borderId="0" xfId="0" applyFont="1" applyAlignment="1">
      <alignment horizontal="left"/>
    </xf>
    <xf numFmtId="172" fontId="11" fillId="0" borderId="0" xfId="0" applyNumberFormat="1" applyFont="1" applyAlignment="1">
      <alignment horizontal="right"/>
    </xf>
    <xf numFmtId="0" fontId="17" fillId="0" borderId="4" xfId="0" applyFont="1" applyBorder="1" applyAlignment="1">
      <alignment horizontal="left" vertical="top"/>
    </xf>
    <xf numFmtId="0" fontId="8" fillId="0" borderId="0" xfId="0" applyFont="1" applyAlignment="1">
      <alignment vertical="top" wrapText="1"/>
    </xf>
    <xf numFmtId="0" fontId="11" fillId="0" borderId="4" xfId="0" applyFont="1" applyBorder="1" applyAlignment="1">
      <alignment vertical="top" wrapText="1"/>
    </xf>
    <xf numFmtId="169" fontId="12" fillId="0" borderId="0" xfId="6" applyNumberFormat="1" applyFont="1" applyFill="1" applyBorder="1" applyAlignment="1">
      <alignment horizontal="center" vertical="center"/>
    </xf>
    <xf numFmtId="1" fontId="9" fillId="0" borderId="0" xfId="0" applyNumberFormat="1" applyFont="1" applyAlignment="1">
      <alignment horizontal="right"/>
    </xf>
    <xf numFmtId="0" fontId="11" fillId="0" borderId="4" xfId="0" applyFont="1" applyBorder="1"/>
    <xf numFmtId="0" fontId="8" fillId="0" borderId="4" xfId="0" applyFont="1" applyBorder="1" applyAlignment="1">
      <alignment vertical="top"/>
    </xf>
    <xf numFmtId="0" fontId="8" fillId="0" borderId="12" xfId="0" applyFont="1" applyBorder="1" applyAlignment="1">
      <alignment horizontal="left" vertical="top" wrapText="1"/>
    </xf>
    <xf numFmtId="0" fontId="8" fillId="0" borderId="14" xfId="0" applyFont="1" applyBorder="1" applyAlignment="1">
      <alignment horizontal="left" vertical="top" wrapText="1"/>
    </xf>
    <xf numFmtId="0" fontId="8" fillId="0" borderId="14" xfId="0" applyFont="1" applyBorder="1" applyAlignment="1">
      <alignment horizontal="center" vertical="center" wrapText="1"/>
    </xf>
    <xf numFmtId="166" fontId="12" fillId="0" borderId="13" xfId="6" applyNumberFormat="1" applyFont="1" applyFill="1" applyBorder="1" applyAlignment="1">
      <alignment horizontal="center" vertical="center"/>
    </xf>
    <xf numFmtId="0" fontId="8" fillId="0" borderId="0" xfId="0" applyFont="1" applyAlignment="1">
      <alignment horizontal="left" vertical="top" wrapText="1"/>
    </xf>
    <xf numFmtId="0" fontId="19" fillId="0" borderId="4" xfId="0" applyFont="1" applyBorder="1" applyAlignment="1">
      <alignment horizontal="left" vertical="top"/>
    </xf>
    <xf numFmtId="0" fontId="8" fillId="0" borderId="7" xfId="0" applyFont="1" applyBorder="1" applyAlignment="1">
      <alignment horizontal="left" vertical="top" wrapText="1"/>
    </xf>
    <xf numFmtId="0" fontId="19" fillId="0" borderId="2" xfId="0" applyFont="1" applyBorder="1" applyAlignment="1">
      <alignment horizontal="left" vertical="center"/>
    </xf>
    <xf numFmtId="0" fontId="11" fillId="0" borderId="1" xfId="0" applyFont="1" applyBorder="1" applyAlignment="1">
      <alignment vertical="center" wrapText="1"/>
    </xf>
    <xf numFmtId="174" fontId="11" fillId="0" borderId="0" xfId="0" quotePrefix="1" applyNumberFormat="1" applyFont="1" applyAlignment="1">
      <alignment horizontal="left"/>
    </xf>
    <xf numFmtId="0" fontId="11" fillId="0" borderId="1" xfId="0" applyFont="1" applyBorder="1" applyAlignment="1">
      <alignment horizontal="center" vertical="top" wrapText="1"/>
    </xf>
    <xf numFmtId="166" fontId="11" fillId="0" borderId="5" xfId="6" applyNumberFormat="1" applyFont="1" applyFill="1" applyBorder="1" applyAlignment="1">
      <alignment horizontal="center" vertical="center"/>
    </xf>
    <xf numFmtId="0" fontId="11" fillId="0" borderId="0" xfId="0" applyFont="1" applyAlignment="1">
      <alignment horizontal="center" vertical="center" wrapText="1"/>
    </xf>
    <xf numFmtId="0" fontId="17" fillId="0" borderId="2" xfId="0" applyFont="1" applyBorder="1" applyAlignment="1">
      <alignment horizontal="left" vertical="top"/>
    </xf>
    <xf numFmtId="0" fontId="11" fillId="0" borderId="10" xfId="0" applyFont="1" applyBorder="1" applyAlignment="1">
      <alignment horizontal="center" vertical="center" wrapText="1"/>
    </xf>
    <xf numFmtId="166" fontId="11" fillId="0" borderId="11" xfId="6" applyNumberFormat="1" applyFont="1" applyFill="1" applyBorder="1" applyAlignment="1">
      <alignment horizontal="center" vertical="center"/>
    </xf>
    <xf numFmtId="0" fontId="22" fillId="0" borderId="0" xfId="0" applyFont="1" applyAlignment="1">
      <alignment horizontal="left"/>
    </xf>
    <xf numFmtId="166" fontId="8" fillId="0" borderId="0" xfId="0" applyNumberFormat="1" applyFont="1"/>
    <xf numFmtId="0" fontId="9" fillId="0" borderId="0" xfId="0" applyFont="1" applyAlignment="1">
      <alignment horizontal="right" vertical="top" wrapText="1"/>
    </xf>
    <xf numFmtId="3" fontId="23" fillId="0" borderId="0" xfId="0" applyNumberFormat="1" applyFont="1"/>
    <xf numFmtId="0" fontId="8" fillId="0" borderId="0" xfId="0" applyFont="1" applyAlignment="1">
      <alignment horizontal="left" wrapText="1"/>
    </xf>
    <xf numFmtId="0" fontId="11" fillId="0" borderId="0" xfId="0" applyFont="1" applyAlignment="1">
      <alignment horizontal="left" vertical="top" wrapText="1"/>
    </xf>
    <xf numFmtId="0" fontId="17" fillId="0" borderId="0" xfId="0" applyFont="1" applyAlignment="1">
      <alignment horizontal="left" vertical="top" wrapText="1"/>
    </xf>
    <xf numFmtId="0" fontId="8" fillId="0" borderId="0" xfId="0" applyFont="1" applyAlignment="1">
      <alignment horizontal="right" vertical="top" wrapText="1"/>
    </xf>
    <xf numFmtId="0" fontId="11" fillId="0" borderId="0" xfId="0" applyFont="1" applyAlignment="1">
      <alignment horizontal="right" vertical="top" wrapText="1"/>
    </xf>
    <xf numFmtId="0" fontId="9" fillId="0" borderId="0" xfId="0" applyFont="1"/>
    <xf numFmtId="166" fontId="10" fillId="0" borderId="0" xfId="0" applyNumberFormat="1" applyFont="1"/>
    <xf numFmtId="0" fontId="11" fillId="0" borderId="4" xfId="0" applyFont="1" applyBorder="1" applyAlignment="1">
      <alignment horizontal="left"/>
    </xf>
    <xf numFmtId="175" fontId="8" fillId="0" borderId="0" xfId="7" applyNumberFormat="1" applyFont="1" applyFill="1"/>
    <xf numFmtId="0" fontId="24" fillId="4" borderId="7" xfId="0" applyFont="1" applyFill="1" applyBorder="1" applyAlignment="1">
      <alignment vertical="top"/>
    </xf>
    <xf numFmtId="0" fontId="25" fillId="4" borderId="0" xfId="0" applyFont="1" applyFill="1" applyAlignment="1">
      <alignment horizontal="left" vertical="top" wrapText="1"/>
    </xf>
    <xf numFmtId="0" fontId="25" fillId="4" borderId="0" xfId="0" applyFont="1" applyFill="1" applyAlignment="1">
      <alignment vertical="top" wrapText="1"/>
    </xf>
    <xf numFmtId="0" fontId="26" fillId="4" borderId="0" xfId="0" applyFont="1" applyFill="1"/>
    <xf numFmtId="0" fontId="11" fillId="3" borderId="9" xfId="0" applyFont="1" applyFill="1" applyBorder="1" applyAlignment="1">
      <alignment horizontal="left" vertical="top"/>
    </xf>
    <xf numFmtId="0" fontId="10" fillId="3" borderId="10" xfId="0" applyFont="1" applyFill="1" applyBorder="1" applyAlignment="1">
      <alignment horizontal="left" vertical="top" wrapText="1"/>
    </xf>
    <xf numFmtId="0" fontId="10" fillId="3" borderId="10" xfId="0" applyFont="1" applyFill="1" applyBorder="1" applyAlignment="1">
      <alignment horizontal="right"/>
    </xf>
    <xf numFmtId="166" fontId="10" fillId="3" borderId="11" xfId="0" applyNumberFormat="1" applyFont="1" applyFill="1" applyBorder="1" applyAlignment="1">
      <alignment horizontal="right"/>
    </xf>
    <xf numFmtId="3" fontId="8" fillId="0" borderId="0" xfId="0" applyNumberFormat="1" applyFont="1"/>
    <xf numFmtId="3" fontId="23" fillId="0" borderId="0" xfId="0" applyNumberFormat="1" applyFont="1" applyAlignment="1">
      <alignment horizontal="right"/>
    </xf>
    <xf numFmtId="0" fontId="8" fillId="0" borderId="4" xfId="0" applyFont="1" applyBorder="1" applyAlignment="1">
      <alignment horizontal="left" vertical="top" wrapText="1"/>
    </xf>
    <xf numFmtId="166" fontId="8" fillId="0" borderId="1" xfId="6" applyNumberFormat="1" applyFont="1" applyBorder="1"/>
    <xf numFmtId="3" fontId="17" fillId="0" borderId="0" xfId="0" applyNumberFormat="1" applyFont="1"/>
    <xf numFmtId="0" fontId="24" fillId="4" borderId="7" xfId="0" applyFont="1" applyFill="1" applyBorder="1" applyAlignment="1">
      <alignment horizontal="center" vertical="top"/>
    </xf>
    <xf numFmtId="43" fontId="8" fillId="0" borderId="0" xfId="0" applyNumberFormat="1" applyFont="1"/>
    <xf numFmtId="3" fontId="8" fillId="0" borderId="1" xfId="0" applyNumberFormat="1" applyFont="1" applyBorder="1"/>
    <xf numFmtId="0" fontId="8" fillId="0" borderId="0" xfId="0" applyFont="1" applyAlignment="1">
      <alignment horizontal="right" vertical="top"/>
    </xf>
    <xf numFmtId="2" fontId="8" fillId="0" borderId="0" xfId="0" applyNumberFormat="1" applyFont="1" applyAlignment="1">
      <alignment horizontal="center"/>
    </xf>
    <xf numFmtId="173" fontId="18" fillId="0" borderId="0" xfId="0" applyNumberFormat="1" applyFont="1" applyAlignment="1">
      <alignment horizontal="right"/>
    </xf>
    <xf numFmtId="0" fontId="8" fillId="0" borderId="1" xfId="0" applyFont="1" applyBorder="1" applyAlignment="1">
      <alignment vertical="top"/>
    </xf>
    <xf numFmtId="0" fontId="8" fillId="0" borderId="1" xfId="0" applyFont="1" applyBorder="1" applyAlignment="1">
      <alignment vertical="top" wrapText="1"/>
    </xf>
    <xf numFmtId="0" fontId="8" fillId="0" borderId="1" xfId="0" applyFont="1" applyBorder="1" applyAlignment="1">
      <alignment horizontal="center" vertical="center" wrapText="1"/>
    </xf>
    <xf numFmtId="170" fontId="12" fillId="0" borderId="1" xfId="6" applyNumberFormat="1" applyFont="1" applyFill="1" applyBorder="1" applyAlignment="1">
      <alignment horizontal="center" vertical="center"/>
    </xf>
    <xf numFmtId="0" fontId="17" fillId="0" borderId="15" xfId="0" applyFont="1" applyBorder="1"/>
    <xf numFmtId="0" fontId="8" fillId="0" borderId="18" xfId="0" applyFont="1" applyBorder="1"/>
    <xf numFmtId="0" fontId="8" fillId="0" borderId="16" xfId="0" applyFont="1" applyBorder="1"/>
    <xf numFmtId="0" fontId="8" fillId="0" borderId="19" xfId="0" applyFont="1" applyBorder="1"/>
    <xf numFmtId="0" fontId="11" fillId="0" borderId="20" xfId="0" applyFont="1" applyBorder="1"/>
    <xf numFmtId="0" fontId="29" fillId="0" borderId="0" xfId="0" applyFont="1" applyAlignment="1">
      <alignment horizontal="right"/>
    </xf>
    <xf numFmtId="166" fontId="29" fillId="0" borderId="0" xfId="0" applyNumberFormat="1" applyFont="1"/>
    <xf numFmtId="3" fontId="8" fillId="0" borderId="20" xfId="0" applyNumberFormat="1" applyFont="1" applyBorder="1"/>
    <xf numFmtId="0" fontId="8" fillId="0" borderId="17" xfId="0" applyFont="1" applyBorder="1"/>
    <xf numFmtId="0" fontId="8" fillId="0" borderId="21" xfId="0" applyFont="1" applyBorder="1"/>
    <xf numFmtId="0" fontId="11" fillId="0" borderId="0" xfId="0" applyFont="1" applyAlignment="1">
      <alignment horizontal="center"/>
    </xf>
    <xf numFmtId="3" fontId="8" fillId="0" borderId="0" xfId="0" applyNumberFormat="1" applyFont="1" applyAlignment="1">
      <alignment horizontal="right"/>
    </xf>
    <xf numFmtId="3" fontId="29" fillId="0" borderId="20" xfId="0" applyNumberFormat="1" applyFont="1" applyBorder="1"/>
    <xf numFmtId="0" fontId="30" fillId="0" borderId="0" xfId="0" applyFont="1"/>
    <xf numFmtId="0" fontId="31" fillId="0" borderId="0" xfId="0" applyFont="1" applyAlignment="1">
      <alignment horizontal="right"/>
    </xf>
    <xf numFmtId="0" fontId="30" fillId="0" borderId="0" xfId="0" applyFont="1" applyAlignment="1">
      <alignment horizontal="right" vertical="top" wrapText="1"/>
    </xf>
    <xf numFmtId="166" fontId="30" fillId="0" borderId="0" xfId="0" applyNumberFormat="1" applyFont="1" applyAlignment="1">
      <alignment horizontal="right"/>
    </xf>
    <xf numFmtId="166" fontId="30" fillId="0" borderId="10" xfId="0" applyNumberFormat="1" applyFont="1" applyBorder="1" applyAlignment="1">
      <alignment horizontal="right"/>
    </xf>
    <xf numFmtId="0" fontId="30" fillId="0" borderId="0" xfId="0" applyFont="1" applyAlignment="1">
      <alignment horizontal="right"/>
    </xf>
    <xf numFmtId="166" fontId="32" fillId="0" borderId="0" xfId="0" applyNumberFormat="1" applyFont="1" applyAlignment="1">
      <alignment horizontal="right"/>
    </xf>
    <xf numFmtId="0" fontId="19" fillId="0" borderId="0" xfId="0" applyFont="1"/>
    <xf numFmtId="3" fontId="29" fillId="0" borderId="0" xfId="0" applyNumberFormat="1" applyFont="1"/>
    <xf numFmtId="166" fontId="29" fillId="0" borderId="0" xfId="6" applyNumberFormat="1" applyFont="1"/>
    <xf numFmtId="0" fontId="8" fillId="0" borderId="7" xfId="0" applyFont="1" applyBorder="1" applyAlignment="1">
      <alignment vertical="top" wrapText="1"/>
    </xf>
    <xf numFmtId="0" fontId="8" fillId="0" borderId="3" xfId="0" applyFont="1" applyBorder="1"/>
    <xf numFmtId="0" fontId="11" fillId="0" borderId="1" xfId="0" applyFont="1" applyBorder="1" applyAlignment="1">
      <alignment horizontal="right" vertical="center"/>
    </xf>
    <xf numFmtId="172" fontId="8" fillId="0" borderId="0" xfId="6" applyNumberFormat="1" applyFont="1" applyFill="1" applyBorder="1"/>
    <xf numFmtId="165" fontId="8" fillId="0" borderId="0" xfId="6" applyFont="1" applyFill="1" applyBorder="1"/>
    <xf numFmtId="0" fontId="8" fillId="0" borderId="1" xfId="0" applyFont="1" applyBorder="1"/>
    <xf numFmtId="165" fontId="8" fillId="0" borderId="5" xfId="6" applyFont="1" applyBorder="1"/>
    <xf numFmtId="0" fontId="8" fillId="0" borderId="0" xfId="0" applyFont="1" applyAlignment="1">
      <alignment horizontal="center"/>
    </xf>
    <xf numFmtId="0" fontId="31" fillId="0" borderId="0" xfId="0" applyFont="1" applyAlignment="1">
      <alignment horizontal="left" vertical="top" wrapText="1"/>
    </xf>
    <xf numFmtId="0" fontId="30" fillId="0" borderId="0" xfId="0" applyFont="1" applyAlignment="1">
      <alignment horizontal="left" vertical="top" wrapText="1"/>
    </xf>
    <xf numFmtId="166" fontId="11" fillId="0" borderId="14" xfId="0" applyNumberFormat="1" applyFont="1" applyBorder="1" applyAlignment="1">
      <alignment horizontal="right"/>
    </xf>
    <xf numFmtId="166" fontId="8" fillId="0" borderId="0" xfId="0" applyNumberFormat="1" applyFont="1" applyAlignment="1">
      <alignment horizontal="right"/>
    </xf>
    <xf numFmtId="172" fontId="8" fillId="0" borderId="0" xfId="0" applyNumberFormat="1" applyFont="1" applyAlignment="1">
      <alignment horizontal="right"/>
    </xf>
    <xf numFmtId="166" fontId="31" fillId="0" borderId="0" xfId="0" applyNumberFormat="1" applyFont="1" applyAlignment="1">
      <alignment horizontal="right"/>
    </xf>
    <xf numFmtId="166" fontId="30" fillId="0" borderId="0" xfId="6" applyNumberFormat="1" applyFont="1" applyBorder="1" applyAlignment="1">
      <alignment horizontal="right"/>
    </xf>
    <xf numFmtId="176" fontId="30" fillId="0" borderId="0" xfId="6" applyNumberFormat="1" applyFont="1" applyBorder="1" applyAlignment="1">
      <alignment horizontal="right"/>
    </xf>
    <xf numFmtId="166" fontId="8" fillId="0" borderId="23" xfId="6" applyNumberFormat="1" applyFont="1" applyBorder="1" applyAlignment="1">
      <alignment horizontal="right"/>
    </xf>
    <xf numFmtId="0" fontId="8" fillId="0" borderId="19" xfId="0" applyFont="1" applyBorder="1" applyAlignment="1">
      <alignment horizontal="right"/>
    </xf>
    <xf numFmtId="166" fontId="8" fillId="0" borderId="22" xfId="6" applyNumberFormat="1" applyFont="1" applyBorder="1" applyAlignment="1">
      <alignment horizontal="right"/>
    </xf>
    <xf numFmtId="0" fontId="17" fillId="0" borderId="0" xfId="0" applyFont="1"/>
    <xf numFmtId="166" fontId="34" fillId="0" borderId="0" xfId="0" applyNumberFormat="1" applyFont="1" applyAlignment="1">
      <alignment horizontal="right"/>
    </xf>
    <xf numFmtId="169" fontId="8" fillId="5" borderId="0" xfId="6" applyNumberFormat="1" applyFont="1" applyFill="1" applyBorder="1"/>
    <xf numFmtId="175" fontId="10" fillId="0" borderId="0" xfId="7" applyNumberFormat="1" applyFont="1" applyBorder="1" applyAlignment="1">
      <alignment horizontal="right"/>
    </xf>
    <xf numFmtId="0" fontId="35" fillId="0" borderId="0" xfId="0" applyFont="1" applyAlignment="1">
      <alignment vertical="center"/>
    </xf>
    <xf numFmtId="0" fontId="35" fillId="0" borderId="0" xfId="0" applyFont="1" applyAlignment="1">
      <alignment horizontal="left" vertical="center" indent="15"/>
    </xf>
    <xf numFmtId="0" fontId="35" fillId="0" borderId="0" xfId="0" applyFont="1" applyAlignment="1">
      <alignment horizontal="left" vertical="center" indent="11"/>
    </xf>
    <xf numFmtId="0" fontId="37" fillId="0" borderId="0" xfId="0" applyFont="1" applyAlignment="1">
      <alignment horizontal="left" vertical="center" indent="15"/>
    </xf>
    <xf numFmtId="0" fontId="38" fillId="0" borderId="0" xfId="0" applyFont="1"/>
    <xf numFmtId="0" fontId="37" fillId="0" borderId="0" xfId="0" applyFont="1" applyAlignment="1">
      <alignment vertical="center"/>
    </xf>
    <xf numFmtId="0" fontId="39" fillId="0" borderId="24" xfId="0" applyFont="1" applyBorder="1"/>
    <xf numFmtId="0" fontId="38" fillId="0" borderId="24" xfId="0" applyFont="1" applyBorder="1"/>
    <xf numFmtId="0" fontId="36" fillId="0" borderId="24" xfId="0" applyFont="1" applyBorder="1"/>
    <xf numFmtId="0" fontId="36" fillId="0" borderId="24" xfId="0" applyFont="1" applyBorder="1" applyAlignment="1">
      <alignment horizontal="left"/>
    </xf>
    <xf numFmtId="0" fontId="38" fillId="0" borderId="24" xfId="0" applyFont="1" applyBorder="1" applyAlignment="1">
      <alignment horizontal="left"/>
    </xf>
    <xf numFmtId="14" fontId="38" fillId="0" borderId="24" xfId="0" applyNumberFormat="1" applyFont="1" applyBorder="1"/>
    <xf numFmtId="0" fontId="38" fillId="0" borderId="24" xfId="0" applyFont="1" applyBorder="1" applyAlignment="1">
      <alignment wrapText="1"/>
    </xf>
    <xf numFmtId="14" fontId="38" fillId="0" borderId="24" xfId="0" applyNumberFormat="1" applyFont="1" applyBorder="1" applyAlignment="1">
      <alignment vertical="top"/>
    </xf>
    <xf numFmtId="0" fontId="38" fillId="0" borderId="24" xfId="0" applyFont="1" applyBorder="1" applyAlignment="1">
      <alignment horizontal="left" vertical="top"/>
    </xf>
    <xf numFmtId="0" fontId="30" fillId="0" borderId="0" xfId="0" applyFont="1" applyAlignment="1">
      <alignment horizontal="left" vertical="top"/>
    </xf>
    <xf numFmtId="0" fontId="8" fillId="0" borderId="0" xfId="0" quotePrefix="1" applyFont="1"/>
    <xf numFmtId="0" fontId="31" fillId="0" borderId="0" xfId="0" applyFont="1"/>
    <xf numFmtId="178" fontId="30" fillId="0" borderId="0" xfId="0" applyNumberFormat="1" applyFont="1"/>
    <xf numFmtId="0" fontId="30" fillId="0" borderId="0" xfId="0" quotePrefix="1" applyFont="1"/>
    <xf numFmtId="0" fontId="31" fillId="0" borderId="34" xfId="0" applyFont="1" applyBorder="1"/>
    <xf numFmtId="0" fontId="30" fillId="0" borderId="10" xfId="0" applyFont="1" applyBorder="1"/>
    <xf numFmtId="0" fontId="30" fillId="0" borderId="35" xfId="0" applyFont="1" applyBorder="1"/>
    <xf numFmtId="0" fontId="31" fillId="0" borderId="36" xfId="0" applyFont="1" applyBorder="1"/>
    <xf numFmtId="0" fontId="30" fillId="0" borderId="37" xfId="0" applyFont="1" applyBorder="1"/>
    <xf numFmtId="0" fontId="31" fillId="0" borderId="38" xfId="0" applyFont="1" applyBorder="1"/>
    <xf numFmtId="9" fontId="30" fillId="0" borderId="0" xfId="7" applyFont="1"/>
    <xf numFmtId="2" fontId="30" fillId="0" borderId="0" xfId="0" applyNumberFormat="1" applyFont="1"/>
    <xf numFmtId="0" fontId="30" fillId="5" borderId="0" xfId="0" applyFont="1" applyFill="1" applyAlignment="1">
      <alignment vertical="top"/>
    </xf>
    <xf numFmtId="9" fontId="30" fillId="5" borderId="0" xfId="7" applyFont="1" applyFill="1" applyAlignment="1">
      <alignment vertical="top"/>
    </xf>
    <xf numFmtId="169" fontId="30" fillId="0" borderId="0" xfId="6" applyNumberFormat="1" applyFont="1"/>
    <xf numFmtId="0" fontId="8" fillId="0" borderId="0" xfId="0" applyFont="1" applyAlignment="1">
      <alignment horizontal="center" vertical="top"/>
    </xf>
    <xf numFmtId="166" fontId="30" fillId="5" borderId="0" xfId="6" applyNumberFormat="1" applyFont="1" applyFill="1" applyAlignment="1">
      <alignment vertical="top"/>
    </xf>
    <xf numFmtId="9" fontId="30" fillId="0" borderId="0" xfId="7" applyFont="1" applyFill="1" applyAlignment="1">
      <alignment vertical="top"/>
    </xf>
    <xf numFmtId="177" fontId="30" fillId="0" borderId="0" xfId="0" applyNumberFormat="1" applyFont="1"/>
    <xf numFmtId="0" fontId="8" fillId="0" borderId="0" xfId="0" applyFont="1" applyAlignment="1">
      <alignment vertical="top"/>
    </xf>
    <xf numFmtId="0" fontId="30" fillId="5" borderId="0" xfId="0" applyFont="1" applyFill="1"/>
    <xf numFmtId="0" fontId="30" fillId="0" borderId="10" xfId="0" applyFont="1" applyBorder="1" applyAlignment="1">
      <alignment horizontal="right" vertical="top" wrapText="1"/>
    </xf>
    <xf numFmtId="0" fontId="10" fillId="3" borderId="10" xfId="0" applyFont="1" applyFill="1" applyBorder="1" applyAlignment="1">
      <alignment horizontal="center"/>
    </xf>
    <xf numFmtId="0" fontId="31" fillId="37" borderId="14" xfId="0" applyFont="1" applyFill="1" applyBorder="1" applyAlignment="1">
      <alignment horizontal="left" vertical="top" wrapText="1"/>
    </xf>
    <xf numFmtId="0" fontId="31" fillId="37" borderId="14" xfId="0" applyFont="1" applyFill="1" applyBorder="1" applyAlignment="1">
      <alignment vertical="top"/>
    </xf>
    <xf numFmtId="167" fontId="31" fillId="37" borderId="14" xfId="0" applyNumberFormat="1" applyFont="1" applyFill="1" applyBorder="1" applyAlignment="1">
      <alignment vertical="top"/>
    </xf>
    <xf numFmtId="0" fontId="30" fillId="37" borderId="0" xfId="0" applyFont="1" applyFill="1"/>
    <xf numFmtId="166" fontId="30" fillId="37" borderId="0" xfId="0" applyNumberFormat="1" applyFont="1" applyFill="1"/>
    <xf numFmtId="10" fontId="30" fillId="37" borderId="0" xfId="7" applyNumberFormat="1" applyFont="1" applyFill="1"/>
    <xf numFmtId="176" fontId="30" fillId="5" borderId="0" xfId="6" applyNumberFormat="1" applyFont="1" applyFill="1" applyAlignment="1">
      <alignment vertical="top"/>
    </xf>
    <xf numFmtId="0" fontId="30" fillId="0" borderId="0" xfId="0" applyFont="1" applyAlignment="1">
      <alignment horizontal="left"/>
    </xf>
    <xf numFmtId="0" fontId="30" fillId="5" borderId="0" xfId="0" applyFont="1" applyFill="1" applyAlignment="1">
      <alignment horizontal="left"/>
    </xf>
    <xf numFmtId="0" fontId="9" fillId="5" borderId="0" xfId="0" applyFont="1" applyFill="1" applyAlignment="1">
      <alignment horizontal="left" vertical="top" wrapText="1"/>
    </xf>
    <xf numFmtId="0" fontId="8" fillId="0" borderId="0" xfId="0" applyFont="1" applyAlignment="1">
      <alignment vertical="center"/>
    </xf>
    <xf numFmtId="0" fontId="11" fillId="0" borderId="0" xfId="0" applyFont="1" applyAlignment="1">
      <alignment horizontal="right" wrapText="1"/>
    </xf>
    <xf numFmtId="0" fontId="8" fillId="0" borderId="0" xfId="0" applyFont="1" applyAlignment="1">
      <alignment horizontal="right" wrapText="1" indent="1"/>
    </xf>
    <xf numFmtId="168" fontId="8" fillId="0" borderId="0" xfId="0" applyNumberFormat="1" applyFont="1" applyAlignment="1">
      <alignment horizontal="right"/>
    </xf>
    <xf numFmtId="0" fontId="8" fillId="0" borderId="0" xfId="0" applyFont="1" applyAlignment="1">
      <alignment horizontal="center" wrapText="1"/>
    </xf>
    <xf numFmtId="181" fontId="8" fillId="0" borderId="0" xfId="0" applyNumberFormat="1" applyFont="1" applyAlignment="1">
      <alignment horizontal="right"/>
    </xf>
    <xf numFmtId="166" fontId="67" fillId="5" borderId="0" xfId="6" applyNumberFormat="1" applyFont="1" applyFill="1" applyBorder="1" applyAlignment="1">
      <alignment horizontal="center" vertical="center"/>
    </xf>
    <xf numFmtId="175" fontId="67" fillId="5" borderId="0" xfId="7" applyNumberFormat="1" applyFont="1" applyFill="1" applyBorder="1" applyAlignment="1">
      <alignment horizontal="right" vertical="center"/>
    </xf>
    <xf numFmtId="165" fontId="8" fillId="0" borderId="0" xfId="0" applyNumberFormat="1" applyFont="1" applyAlignment="1">
      <alignment horizontal="right"/>
    </xf>
    <xf numFmtId="0" fontId="30" fillId="0" borderId="0" xfId="0" applyFont="1" applyAlignment="1">
      <alignment horizontal="center"/>
    </xf>
    <xf numFmtId="0" fontId="30" fillId="0" borderId="0" xfId="0" applyFont="1" applyAlignment="1">
      <alignment vertical="top"/>
    </xf>
    <xf numFmtId="0" fontId="30" fillId="0" borderId="0" xfId="0" applyFont="1" applyAlignment="1">
      <alignment vertical="center"/>
    </xf>
    <xf numFmtId="0" fontId="30" fillId="0" borderId="0" xfId="0" quotePrefix="1" applyFont="1" applyAlignment="1">
      <alignment vertical="center"/>
    </xf>
    <xf numFmtId="0" fontId="61" fillId="0" borderId="0" xfId="0" applyFont="1" applyAlignment="1">
      <alignment horizontal="left" vertical="top" wrapText="1"/>
    </xf>
    <xf numFmtId="178" fontId="38" fillId="0" borderId="0" xfId="0" applyNumberFormat="1" applyFont="1" applyAlignment="1">
      <alignment horizontal="center"/>
    </xf>
    <xf numFmtId="178" fontId="38" fillId="0" borderId="0" xfId="0" applyNumberFormat="1" applyFont="1"/>
    <xf numFmtId="179" fontId="38" fillId="0" borderId="0" xfId="0" applyNumberFormat="1" applyFont="1"/>
    <xf numFmtId="0" fontId="68" fillId="0" borderId="0" xfId="0" applyFont="1" applyAlignment="1">
      <alignment horizontal="center" vertical="top" wrapText="1"/>
    </xf>
    <xf numFmtId="0" fontId="68" fillId="0" borderId="0" xfId="0" applyFont="1" applyAlignment="1">
      <alignment horizontal="left" vertical="top" wrapText="1"/>
    </xf>
    <xf numFmtId="173" fontId="68" fillId="0" borderId="0" xfId="0" applyNumberFormat="1" applyFont="1" applyAlignment="1">
      <alignment horizontal="right" vertical="top" wrapText="1"/>
    </xf>
    <xf numFmtId="167" fontId="68" fillId="0" borderId="0" xfId="0" applyNumberFormat="1" applyFont="1" applyAlignment="1">
      <alignment horizontal="right" vertical="top" wrapText="1"/>
    </xf>
    <xf numFmtId="177" fontId="68" fillId="0" borderId="0" xfId="0" applyNumberFormat="1" applyFont="1" applyAlignment="1">
      <alignment horizontal="right" vertical="top" wrapText="1"/>
    </xf>
    <xf numFmtId="4" fontId="8" fillId="0" borderId="0" xfId="0" applyNumberFormat="1" applyFont="1" applyAlignment="1">
      <alignment horizontal="right"/>
    </xf>
    <xf numFmtId="182" fontId="8" fillId="0" borderId="0" xfId="0" applyNumberFormat="1" applyFont="1" applyAlignment="1">
      <alignment horizontal="right"/>
    </xf>
    <xf numFmtId="172" fontId="8" fillId="0" borderId="0" xfId="6" applyNumberFormat="1" applyFont="1" applyBorder="1"/>
    <xf numFmtId="0" fontId="30" fillId="0" borderId="0" xfId="130" applyFont="1"/>
    <xf numFmtId="0" fontId="31" fillId="0" borderId="0" xfId="130" applyFont="1"/>
    <xf numFmtId="0" fontId="31" fillId="0" borderId="0" xfId="130" applyFont="1" applyAlignment="1">
      <alignment horizontal="left" vertical="top" wrapText="1"/>
    </xf>
    <xf numFmtId="0" fontId="31" fillId="0" borderId="0" xfId="130" applyFont="1" applyAlignment="1">
      <alignment wrapText="1"/>
    </xf>
    <xf numFmtId="0" fontId="31" fillId="0" borderId="0" xfId="130" applyFont="1" applyAlignment="1">
      <alignment vertical="top"/>
    </xf>
    <xf numFmtId="0" fontId="31" fillId="0" borderId="0" xfId="130" applyFont="1" applyAlignment="1">
      <alignment vertical="top" wrapText="1"/>
    </xf>
    <xf numFmtId="0" fontId="30" fillId="0" borderId="0" xfId="130" applyFont="1" applyAlignment="1">
      <alignment vertical="top" wrapText="1"/>
    </xf>
    <xf numFmtId="0" fontId="30" fillId="38" borderId="0" xfId="130" applyFont="1" applyFill="1" applyAlignment="1">
      <alignment horizontal="center" vertical="center" wrapText="1"/>
    </xf>
    <xf numFmtId="0" fontId="30" fillId="0" borderId="0" xfId="130" applyFont="1" applyAlignment="1">
      <alignment horizontal="center" vertical="center" wrapText="1"/>
    </xf>
    <xf numFmtId="0" fontId="30" fillId="0" borderId="0" xfId="130" applyFont="1" applyAlignment="1">
      <alignment wrapText="1"/>
    </xf>
    <xf numFmtId="0" fontId="31" fillId="39" borderId="0" xfId="130" applyFont="1" applyFill="1" applyAlignment="1">
      <alignment horizontal="left" vertical="top" wrapText="1"/>
    </xf>
    <xf numFmtId="0" fontId="31" fillId="39" borderId="0" xfId="130" applyFont="1" applyFill="1" applyAlignment="1">
      <alignment horizontal="center" vertical="top" wrapText="1"/>
    </xf>
    <xf numFmtId="0" fontId="19" fillId="0" borderId="0" xfId="130" applyFont="1"/>
    <xf numFmtId="0" fontId="31" fillId="3" borderId="0" xfId="130" applyFont="1" applyFill="1" applyAlignment="1">
      <alignment horizontal="left" vertical="top" wrapText="1"/>
    </xf>
    <xf numFmtId="0" fontId="31" fillId="3" borderId="0" xfId="130" applyFont="1" applyFill="1" applyAlignment="1">
      <alignment vertical="top"/>
    </xf>
    <xf numFmtId="0" fontId="31" fillId="3" borderId="0" xfId="130" applyFont="1" applyFill="1" applyAlignment="1">
      <alignment vertical="top" wrapText="1"/>
    </xf>
    <xf numFmtId="0" fontId="53" fillId="40" borderId="0" xfId="130" applyFont="1" applyFill="1"/>
    <xf numFmtId="0" fontId="33" fillId="40" borderId="0" xfId="130" applyFont="1" applyFill="1"/>
    <xf numFmtId="0" fontId="71" fillId="40" borderId="0" xfId="130" applyFont="1" applyFill="1"/>
    <xf numFmtId="0" fontId="31" fillId="40" borderId="0" xfId="130" applyFont="1" applyFill="1"/>
    <xf numFmtId="0" fontId="33" fillId="40" borderId="0" xfId="130" applyFont="1" applyFill="1" applyAlignment="1">
      <alignment horizontal="center"/>
    </xf>
    <xf numFmtId="0" fontId="33" fillId="40" borderId="0" xfId="130" applyFont="1" applyFill="1" applyAlignment="1">
      <alignment horizontal="center" vertical="top"/>
    </xf>
    <xf numFmtId="0" fontId="17" fillId="0" borderId="4" xfId="0" applyFont="1" applyBorder="1" applyAlignment="1">
      <alignment horizontal="left" vertical="top" wrapText="1"/>
    </xf>
    <xf numFmtId="166" fontId="30" fillId="0" borderId="0" xfId="6" applyNumberFormat="1" applyFont="1"/>
    <xf numFmtId="0" fontId="31" fillId="0" borderId="0" xfId="0" applyFont="1" applyAlignment="1">
      <alignment horizontal="right" vertical="top" wrapText="1"/>
    </xf>
    <xf numFmtId="166" fontId="30" fillId="0" borderId="0" xfId="0" applyNumberFormat="1" applyFont="1"/>
    <xf numFmtId="166" fontId="8" fillId="0" borderId="0" xfId="0" applyNumberFormat="1" applyFont="1" applyAlignment="1">
      <alignment horizontal="left"/>
    </xf>
    <xf numFmtId="166" fontId="68" fillId="5" borderId="5" xfId="6" applyNumberFormat="1" applyFont="1" applyFill="1" applyBorder="1" applyAlignment="1">
      <alignment horizontal="center" vertical="center"/>
    </xf>
    <xf numFmtId="166" fontId="68" fillId="0" borderId="5" xfId="6" applyNumberFormat="1" applyFont="1" applyFill="1" applyBorder="1" applyAlignment="1">
      <alignment horizontal="center" vertical="center"/>
    </xf>
    <xf numFmtId="166" fontId="2" fillId="5" borderId="5" xfId="6" applyNumberFormat="1" applyFont="1" applyFill="1" applyBorder="1" applyAlignment="1">
      <alignment horizontal="center" vertical="center"/>
    </xf>
    <xf numFmtId="0" fontId="30" fillId="0" borderId="5" xfId="0" applyFont="1" applyBorder="1"/>
    <xf numFmtId="166" fontId="75" fillId="5" borderId="5" xfId="6" applyNumberFormat="1" applyFont="1" applyFill="1" applyBorder="1" applyAlignment="1">
      <alignment horizontal="center" vertical="center"/>
    </xf>
    <xf numFmtId="166" fontId="2" fillId="0" borderId="5" xfId="6" applyNumberFormat="1" applyFont="1" applyFill="1" applyBorder="1" applyAlignment="1">
      <alignment horizontal="center" vertical="center"/>
    </xf>
    <xf numFmtId="176" fontId="2" fillId="0" borderId="5" xfId="6" applyNumberFormat="1" applyFont="1" applyFill="1" applyBorder="1" applyAlignment="1">
      <alignment horizontal="right" vertical="center"/>
    </xf>
    <xf numFmtId="166" fontId="74" fillId="5" borderId="0" xfId="6" applyNumberFormat="1" applyFont="1" applyFill="1" applyBorder="1" applyAlignment="1">
      <alignment horizontal="center" vertical="center"/>
    </xf>
    <xf numFmtId="175" fontId="74" fillId="5" borderId="0" xfId="7" applyNumberFormat="1" applyFont="1" applyFill="1" applyBorder="1" applyAlignment="1">
      <alignment horizontal="right" vertical="center"/>
    </xf>
    <xf numFmtId="165" fontId="74" fillId="5" borderId="0" xfId="6" applyFont="1" applyFill="1" applyBorder="1" applyAlignment="1">
      <alignment horizontal="center" vertical="center"/>
    </xf>
    <xf numFmtId="9" fontId="2" fillId="5" borderId="5" xfId="7" applyFont="1" applyFill="1" applyBorder="1" applyAlignment="1">
      <alignment horizontal="right" vertical="center"/>
    </xf>
    <xf numFmtId="9" fontId="68" fillId="5" borderId="5" xfId="7" applyFont="1" applyFill="1" applyBorder="1" applyAlignment="1">
      <alignment horizontal="right" vertical="center"/>
    </xf>
    <xf numFmtId="166" fontId="68" fillId="5" borderId="5" xfId="6" applyNumberFormat="1" applyFont="1" applyFill="1" applyBorder="1" applyAlignment="1">
      <alignment horizontal="right" vertical="center"/>
    </xf>
    <xf numFmtId="176" fontId="68" fillId="5" borderId="5" xfId="6" applyNumberFormat="1" applyFont="1" applyFill="1" applyBorder="1" applyAlignment="1">
      <alignment horizontal="right" vertical="center"/>
    </xf>
    <xf numFmtId="176" fontId="68" fillId="0" borderId="0" xfId="6" applyNumberFormat="1" applyFont="1" applyFill="1" applyBorder="1" applyAlignment="1">
      <alignment horizontal="right" vertical="center"/>
    </xf>
    <xf numFmtId="176" fontId="68" fillId="0" borderId="5" xfId="6" applyNumberFormat="1" applyFont="1" applyFill="1" applyBorder="1" applyAlignment="1">
      <alignment horizontal="right" vertical="center"/>
    </xf>
    <xf numFmtId="176" fontId="68" fillId="0" borderId="4" xfId="6" applyNumberFormat="1" applyFont="1" applyFill="1" applyBorder="1" applyAlignment="1">
      <alignment horizontal="right" vertical="center"/>
    </xf>
    <xf numFmtId="165" fontId="8" fillId="0" borderId="0" xfId="6" applyFont="1" applyFill="1" applyBorder="1" applyAlignment="1">
      <alignment vertical="top"/>
    </xf>
    <xf numFmtId="0" fontId="11" fillId="0" borderId="10" xfId="0" applyFont="1" applyBorder="1" applyAlignment="1">
      <alignment horizontal="left" vertical="top" wrapText="1"/>
    </xf>
    <xf numFmtId="0" fontId="11" fillId="0" borderId="10" xfId="0" applyFont="1" applyBorder="1" applyAlignment="1">
      <alignment horizontal="right" vertical="top" wrapText="1"/>
    </xf>
    <xf numFmtId="166" fontId="11" fillId="0" borderId="10" xfId="0" applyNumberFormat="1" applyFont="1" applyBorder="1"/>
    <xf numFmtId="0" fontId="11" fillId="0" borderId="10" xfId="0" applyFont="1" applyBorder="1" applyAlignment="1">
      <alignment horizontal="left" wrapText="1"/>
    </xf>
    <xf numFmtId="2" fontId="11" fillId="0" borderId="10" xfId="0" applyNumberFormat="1" applyFont="1" applyBorder="1" applyAlignment="1">
      <alignment horizontal="right"/>
    </xf>
    <xf numFmtId="166" fontId="11" fillId="0" borderId="10" xfId="0" applyNumberFormat="1" applyFont="1" applyBorder="1" applyAlignment="1">
      <alignment horizontal="right"/>
    </xf>
    <xf numFmtId="167" fontId="8" fillId="0" borderId="0" xfId="0" applyNumberFormat="1" applyFont="1" applyAlignment="1">
      <alignment horizontal="right"/>
    </xf>
    <xf numFmtId="173" fontId="8" fillId="0" borderId="0" xfId="0" applyNumberFormat="1" applyFont="1" applyAlignment="1">
      <alignment horizontal="right"/>
    </xf>
    <xf numFmtId="2" fontId="8" fillId="0" borderId="0" xfId="0" applyNumberFormat="1" applyFont="1" applyAlignment="1">
      <alignment horizontal="right"/>
    </xf>
    <xf numFmtId="0" fontId="8" fillId="0" borderId="10" xfId="0" applyFont="1" applyBorder="1" applyAlignment="1">
      <alignment horizontal="left" vertical="top" wrapText="1"/>
    </xf>
    <xf numFmtId="0" fontId="8" fillId="0" borderId="10" xfId="0" applyFont="1" applyBorder="1" applyAlignment="1">
      <alignment horizontal="right" vertical="top" wrapText="1"/>
    </xf>
    <xf numFmtId="166" fontId="8" fillId="0" borderId="10" xfId="0" applyNumberFormat="1" applyFont="1" applyBorder="1"/>
    <xf numFmtId="0" fontId="8" fillId="0" borderId="0" xfId="0" applyFont="1" applyAlignment="1">
      <alignment horizontal="right" wrapText="1"/>
    </xf>
    <xf numFmtId="0" fontId="8" fillId="0" borderId="0" xfId="0" quotePrefix="1" applyFont="1" applyAlignment="1">
      <alignment horizontal="left" vertical="top" wrapText="1"/>
    </xf>
    <xf numFmtId="180" fontId="8" fillId="0" borderId="0" xfId="0" applyNumberFormat="1" applyFont="1" applyAlignment="1">
      <alignment horizontal="right"/>
    </xf>
    <xf numFmtId="43" fontId="8" fillId="0" borderId="0" xfId="0" applyNumberFormat="1" applyFont="1" applyAlignment="1">
      <alignment horizontal="right"/>
    </xf>
    <xf numFmtId="169" fontId="8" fillId="0" borderId="0" xfId="0" applyNumberFormat="1" applyFont="1" applyAlignment="1">
      <alignment horizontal="right"/>
    </xf>
    <xf numFmtId="0" fontId="8" fillId="0" borderId="0" xfId="0" quotePrefix="1" applyFont="1" applyAlignment="1">
      <alignment horizontal="left"/>
    </xf>
    <xf numFmtId="166" fontId="8" fillId="0" borderId="10" xfId="0" applyNumberFormat="1" applyFont="1" applyBorder="1" applyAlignment="1">
      <alignment vertical="top"/>
    </xf>
    <xf numFmtId="176" fontId="74" fillId="5" borderId="0" xfId="6" applyNumberFormat="1" applyFont="1" applyFill="1" applyBorder="1" applyAlignment="1">
      <alignment horizontal="right" vertical="center"/>
    </xf>
    <xf numFmtId="0" fontId="8" fillId="0" borderId="5" xfId="0" applyFont="1" applyBorder="1" applyAlignment="1">
      <alignment vertical="top"/>
    </xf>
    <xf numFmtId="0" fontId="11" fillId="0" borderId="4" xfId="0" applyFont="1" applyBorder="1" applyAlignment="1">
      <alignment horizontal="left" vertical="top"/>
    </xf>
    <xf numFmtId="0" fontId="8" fillId="0" borderId="4" xfId="0" applyFont="1" applyBorder="1" applyAlignment="1">
      <alignment horizontal="left" vertical="top"/>
    </xf>
    <xf numFmtId="183" fontId="8" fillId="0" borderId="0" xfId="0" applyNumberFormat="1" applyFont="1" applyAlignment="1">
      <alignment horizontal="right"/>
    </xf>
    <xf numFmtId="0" fontId="76" fillId="0" borderId="0" xfId="0" applyFont="1" applyAlignment="1">
      <alignment horizontal="left"/>
    </xf>
    <xf numFmtId="0" fontId="38" fillId="0" borderId="24" xfId="0" applyFont="1" applyBorder="1" applyAlignment="1">
      <alignment vertical="top" wrapText="1"/>
    </xf>
    <xf numFmtId="167" fontId="30" fillId="0" borderId="0" xfId="0" applyNumberFormat="1" applyFont="1"/>
    <xf numFmtId="0" fontId="59" fillId="0" borderId="0" xfId="131"/>
    <xf numFmtId="0" fontId="11" fillId="0" borderId="0" xfId="0" applyFont="1" applyAlignment="1">
      <alignment horizontal="left" vertical="top"/>
    </xf>
    <xf numFmtId="0" fontId="8" fillId="0" borderId="0" xfId="0" applyFont="1" applyAlignment="1">
      <alignment horizontal="left" vertical="top"/>
    </xf>
    <xf numFmtId="166" fontId="12" fillId="0" borderId="0" xfId="6" applyNumberFormat="1" applyFont="1" applyFill="1" applyBorder="1" applyAlignment="1">
      <alignment horizontal="center" vertical="center"/>
    </xf>
    <xf numFmtId="175" fontId="12" fillId="0" borderId="0" xfId="7" applyNumberFormat="1" applyFont="1" applyFill="1" applyBorder="1" applyAlignment="1">
      <alignment horizontal="right" vertical="center"/>
    </xf>
    <xf numFmtId="166" fontId="8" fillId="0" borderId="0" xfId="6" applyNumberFormat="1" applyFont="1" applyFill="1" applyBorder="1"/>
    <xf numFmtId="165" fontId="8" fillId="0" borderId="0" xfId="0" applyNumberFormat="1" applyFont="1" applyAlignment="1">
      <alignment horizontal="right" vertical="top"/>
    </xf>
    <xf numFmtId="177" fontId="0" fillId="5" borderId="0" xfId="6" applyNumberFormat="1" applyFont="1" applyFill="1" applyAlignment="1">
      <alignment vertical="center"/>
    </xf>
    <xf numFmtId="0" fontId="8" fillId="5" borderId="0" xfId="0" applyFont="1" applyFill="1"/>
    <xf numFmtId="184" fontId="68" fillId="0" borderId="0" xfId="0" applyNumberFormat="1" applyFont="1" applyAlignment="1">
      <alignment horizontal="right" vertical="top" wrapText="1"/>
    </xf>
    <xf numFmtId="172" fontId="8" fillId="0" borderId="7" xfId="6" applyNumberFormat="1" applyFont="1" applyFill="1" applyBorder="1" applyAlignment="1">
      <alignment vertical="top"/>
    </xf>
    <xf numFmtId="0" fontId="8" fillId="0" borderId="7" xfId="0" applyFont="1" applyBorder="1" applyAlignment="1">
      <alignment vertical="top"/>
    </xf>
    <xf numFmtId="166" fontId="8" fillId="0" borderId="0" xfId="0" applyNumberFormat="1" applyFont="1" applyAlignment="1">
      <alignment vertical="top"/>
    </xf>
    <xf numFmtId="167" fontId="8" fillId="0" borderId="0" xfId="48" applyNumberFormat="1" applyFont="1" applyAlignment="1">
      <alignment vertical="center"/>
    </xf>
    <xf numFmtId="177" fontId="8" fillId="0" borderId="0" xfId="52" applyNumberFormat="1" applyFont="1" applyFill="1" applyAlignment="1">
      <alignment vertical="center"/>
    </xf>
    <xf numFmtId="168" fontId="8" fillId="0" borderId="0" xfId="48" applyNumberFormat="1" applyFont="1" applyAlignment="1">
      <alignment vertical="center"/>
    </xf>
    <xf numFmtId="181" fontId="8" fillId="0" borderId="0" xfId="48" applyNumberFormat="1" applyFont="1" applyAlignment="1">
      <alignment vertical="center"/>
    </xf>
    <xf numFmtId="3" fontId="8" fillId="0" borderId="0" xfId="48" applyNumberFormat="1" applyFont="1" applyAlignment="1">
      <alignment vertical="center"/>
    </xf>
    <xf numFmtId="0" fontId="8" fillId="0" borderId="0" xfId="0" applyFont="1" applyAlignment="1">
      <alignment horizontal="left" vertical="top" wrapText="1"/>
    </xf>
    <xf numFmtId="0" fontId="11" fillId="0" borderId="0" xfId="0" applyFont="1" applyAlignment="1">
      <alignment horizontal="left" vertical="top"/>
    </xf>
    <xf numFmtId="0" fontId="11" fillId="0" borderId="0" xfId="0" applyFont="1" applyAlignment="1">
      <alignment horizontal="left" vertical="top" wrapText="1"/>
    </xf>
    <xf numFmtId="0" fontId="17" fillId="0" borderId="4" xfId="0" applyFont="1" applyBorder="1" applyAlignment="1">
      <alignment horizontal="left" vertical="top" wrapText="1"/>
    </xf>
    <xf numFmtId="0" fontId="17" fillId="0" borderId="0" xfId="0" applyFont="1" applyAlignment="1">
      <alignment horizontal="left" vertical="top" wrapText="1"/>
    </xf>
    <xf numFmtId="0" fontId="73" fillId="0" borderId="9" xfId="0" applyFont="1" applyBorder="1" applyAlignment="1">
      <alignment horizontal="left" vertical="top" wrapText="1"/>
    </xf>
    <xf numFmtId="0" fontId="72" fillId="0" borderId="10" xfId="0" applyFont="1" applyBorder="1" applyAlignment="1">
      <alignment horizontal="left" vertical="top" wrapText="1"/>
    </xf>
    <xf numFmtId="0" fontId="11" fillId="0" borderId="1" xfId="0" applyFont="1" applyBorder="1" applyAlignment="1">
      <alignment horizontal="center" vertical="top" wrapText="1"/>
    </xf>
    <xf numFmtId="0" fontId="68" fillId="0" borderId="0" xfId="0" applyFont="1" applyAlignment="1">
      <alignment vertical="top" wrapText="1"/>
    </xf>
    <xf numFmtId="0" fontId="72" fillId="0" borderId="0" xfId="0" applyFont="1" applyAlignment="1">
      <alignment wrapText="1"/>
    </xf>
    <xf numFmtId="0" fontId="30" fillId="0" borderId="0" xfId="0" applyFont="1" applyAlignment="1">
      <alignment horizontal="left" vertical="top" wrapText="1"/>
    </xf>
    <xf numFmtId="0" fontId="30" fillId="0" borderId="10" xfId="0" applyFont="1" applyBorder="1" applyAlignment="1">
      <alignment horizontal="left" vertical="top" wrapText="1"/>
    </xf>
    <xf numFmtId="0" fontId="31" fillId="0" borderId="0" xfId="0" applyFont="1" applyAlignment="1">
      <alignment horizontal="left" vertical="top" wrapText="1"/>
    </xf>
    <xf numFmtId="0" fontId="8" fillId="0" borderId="0" xfId="0" applyFont="1" applyAlignment="1">
      <alignment horizontal="center"/>
    </xf>
    <xf numFmtId="0" fontId="30" fillId="0" borderId="14" xfId="0" applyFont="1" applyBorder="1" applyAlignment="1">
      <alignment wrapText="1"/>
    </xf>
    <xf numFmtId="0" fontId="0" fillId="0" borderId="14" xfId="0" applyBorder="1" applyAlignment="1">
      <alignment wrapText="1"/>
    </xf>
    <xf numFmtId="0" fontId="0" fillId="0" borderId="39" xfId="0" applyBorder="1" applyAlignment="1">
      <alignment wrapText="1"/>
    </xf>
    <xf numFmtId="0" fontId="31" fillId="0" borderId="0" xfId="130" applyFont="1" applyAlignment="1">
      <alignment vertical="top" wrapText="1"/>
    </xf>
    <xf numFmtId="0" fontId="30" fillId="0" borderId="0" xfId="130" applyFont="1" applyAlignment="1">
      <alignment vertical="top"/>
    </xf>
  </cellXfs>
  <cellStyles count="132">
    <cellStyle name="20% - Accent1" xfId="25" builtinId="30" customBuiltin="1"/>
    <cellStyle name="20% - Accent1 2" xfId="77" xr:uid="{00000000-0005-0000-0000-000001000000}"/>
    <cellStyle name="20% - Accent1 2 2" xfId="113" xr:uid="{00000000-0005-0000-0000-000002000000}"/>
    <cellStyle name="20% - Accent1 3" xfId="90" xr:uid="{00000000-0005-0000-0000-000003000000}"/>
    <cellStyle name="20% - Accent2" xfId="29" builtinId="34" customBuiltin="1"/>
    <cellStyle name="20% - Accent2 2" xfId="79" xr:uid="{00000000-0005-0000-0000-000005000000}"/>
    <cellStyle name="20% - Accent2 2 2" xfId="115" xr:uid="{00000000-0005-0000-0000-000006000000}"/>
    <cellStyle name="20% - Accent2 3" xfId="92" xr:uid="{00000000-0005-0000-0000-000007000000}"/>
    <cellStyle name="20% - Accent3" xfId="33" builtinId="38" customBuiltin="1"/>
    <cellStyle name="20% - Accent3 2" xfId="81" xr:uid="{00000000-0005-0000-0000-000009000000}"/>
    <cellStyle name="20% - Accent3 2 2" xfId="117" xr:uid="{00000000-0005-0000-0000-00000A000000}"/>
    <cellStyle name="20% - Accent3 3" xfId="94" xr:uid="{00000000-0005-0000-0000-00000B000000}"/>
    <cellStyle name="20% - Accent4" xfId="37" builtinId="42" customBuiltin="1"/>
    <cellStyle name="20% - Accent4 2" xfId="83" xr:uid="{00000000-0005-0000-0000-00000D000000}"/>
    <cellStyle name="20% - Accent4 2 2" xfId="119" xr:uid="{00000000-0005-0000-0000-00000E000000}"/>
    <cellStyle name="20% - Accent4 3" xfId="96" xr:uid="{00000000-0005-0000-0000-00000F000000}"/>
    <cellStyle name="20% - Accent5" xfId="41" builtinId="46" customBuiltin="1"/>
    <cellStyle name="20% - Accent5 2" xfId="85" xr:uid="{00000000-0005-0000-0000-000011000000}"/>
    <cellStyle name="20% - Accent5 2 2" xfId="121" xr:uid="{00000000-0005-0000-0000-000012000000}"/>
    <cellStyle name="20% - Accent5 3" xfId="98" xr:uid="{00000000-0005-0000-0000-000013000000}"/>
    <cellStyle name="20% - Accent6" xfId="45" builtinId="50" customBuiltin="1"/>
    <cellStyle name="20% - Accent6 2" xfId="87" xr:uid="{00000000-0005-0000-0000-000015000000}"/>
    <cellStyle name="20% - Accent6 2 2" xfId="123" xr:uid="{00000000-0005-0000-0000-000016000000}"/>
    <cellStyle name="20% - Accent6 3" xfId="100" xr:uid="{00000000-0005-0000-0000-000017000000}"/>
    <cellStyle name="40% - Accent1" xfId="26" builtinId="31" customBuiltin="1"/>
    <cellStyle name="40% - Accent1 2" xfId="78" xr:uid="{00000000-0005-0000-0000-000019000000}"/>
    <cellStyle name="40% - Accent1 2 2" xfId="114" xr:uid="{00000000-0005-0000-0000-00001A000000}"/>
    <cellStyle name="40% - Accent1 3" xfId="91" xr:uid="{00000000-0005-0000-0000-00001B000000}"/>
    <cellStyle name="40% - Accent2" xfId="30" builtinId="35" customBuiltin="1"/>
    <cellStyle name="40% - Accent2 2" xfId="80" xr:uid="{00000000-0005-0000-0000-00001D000000}"/>
    <cellStyle name="40% - Accent2 2 2" xfId="116" xr:uid="{00000000-0005-0000-0000-00001E000000}"/>
    <cellStyle name="40% - Accent2 3" xfId="93" xr:uid="{00000000-0005-0000-0000-00001F000000}"/>
    <cellStyle name="40% - Accent3" xfId="34" builtinId="39" customBuiltin="1"/>
    <cellStyle name="40% - Accent3 2" xfId="82" xr:uid="{00000000-0005-0000-0000-000021000000}"/>
    <cellStyle name="40% - Accent3 2 2" xfId="118" xr:uid="{00000000-0005-0000-0000-000022000000}"/>
    <cellStyle name="40% - Accent3 3" xfId="95" xr:uid="{00000000-0005-0000-0000-000023000000}"/>
    <cellStyle name="40% - Accent4" xfId="38" builtinId="43" customBuiltin="1"/>
    <cellStyle name="40% - Accent4 2" xfId="84" xr:uid="{00000000-0005-0000-0000-000025000000}"/>
    <cellStyle name="40% - Accent4 2 2" xfId="120" xr:uid="{00000000-0005-0000-0000-000026000000}"/>
    <cellStyle name="40% - Accent4 3" xfId="97" xr:uid="{00000000-0005-0000-0000-000027000000}"/>
    <cellStyle name="40% - Accent5" xfId="42" builtinId="47" customBuiltin="1"/>
    <cellStyle name="40% - Accent5 2" xfId="86" xr:uid="{00000000-0005-0000-0000-000029000000}"/>
    <cellStyle name="40% - Accent5 2 2" xfId="122" xr:uid="{00000000-0005-0000-0000-00002A000000}"/>
    <cellStyle name="40% - Accent5 3" xfId="99" xr:uid="{00000000-0005-0000-0000-00002B000000}"/>
    <cellStyle name="40% - Accent6" xfId="46" builtinId="51" customBuiltin="1"/>
    <cellStyle name="40% - Accent6 2" xfId="88" xr:uid="{00000000-0005-0000-0000-00002D000000}"/>
    <cellStyle name="40% - Accent6 2 2" xfId="124" xr:uid="{00000000-0005-0000-0000-00002E000000}"/>
    <cellStyle name="40% - Accent6 3" xfId="101" xr:uid="{00000000-0005-0000-0000-00002F000000}"/>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erekening" xfId="18" builtinId="22" customBuiltin="1"/>
    <cellStyle name="Controlecel" xfId="20" builtinId="23" customBuiltin="1"/>
    <cellStyle name="Euro" xfId="1" xr:uid="{00000000-0005-0000-0000-00003E000000}"/>
    <cellStyle name="Gekoppelde cel" xfId="19" builtinId="24" customBuiltin="1"/>
    <cellStyle name="Goed" xfId="13" builtinId="26" customBuiltin="1"/>
    <cellStyle name="Hyperlink" xfId="131" builtinId="8"/>
    <cellStyle name="Hyperlink 2" xfId="2" xr:uid="{00000000-0005-0000-0000-000041000000}"/>
    <cellStyle name="Hyperlink 2 2" xfId="125" xr:uid="{00000000-0005-0000-0000-000042000000}"/>
    <cellStyle name="Hyperlink 3" xfId="126" xr:uid="{00000000-0005-0000-0000-000043000000}"/>
    <cellStyle name="Hyperlink 4" xfId="127" xr:uid="{00000000-0005-0000-0000-000044000000}"/>
    <cellStyle name="Invoer" xfId="16" builtinId="20" customBuiltin="1"/>
    <cellStyle name="Komma" xfId="6" builtinId="3"/>
    <cellStyle name="Komma 2" xfId="3" xr:uid="{00000000-0005-0000-0000-000047000000}"/>
    <cellStyle name="Komma 2 2" xfId="64" xr:uid="{00000000-0005-0000-0000-000048000000}"/>
    <cellStyle name="Komma 2 3" xfId="61" xr:uid="{00000000-0005-0000-0000-000049000000}"/>
    <cellStyle name="Komma 2 4" xfId="52" xr:uid="{00000000-0005-0000-0000-00004A000000}"/>
    <cellStyle name="Komma 2_Amersfoort" xfId="68" xr:uid="{00000000-0005-0000-0000-00004B000000}"/>
    <cellStyle name="Komma 3" xfId="59" xr:uid="{00000000-0005-0000-0000-00004C000000}"/>
    <cellStyle name="Komma 4" xfId="49" xr:uid="{00000000-0005-0000-0000-00004D000000}"/>
    <cellStyle name="Komma 4 2" xfId="128" xr:uid="{00000000-0005-0000-0000-00004E000000}"/>
    <cellStyle name="Komma 5" xfId="129" xr:uid="{00000000-0005-0000-0000-00004F000000}"/>
    <cellStyle name="Kop 1" xfId="9" builtinId="16" customBuiltin="1"/>
    <cellStyle name="Kop 2" xfId="10" builtinId="17" customBuiltin="1"/>
    <cellStyle name="Kop 3" xfId="11" builtinId="18" customBuiltin="1"/>
    <cellStyle name="Kop 4" xfId="12" builtinId="19" customBuiltin="1"/>
    <cellStyle name="Neutraal" xfId="15" builtinId="28" customBuiltin="1"/>
    <cellStyle name="Notitie 2" xfId="56" xr:uid="{00000000-0005-0000-0000-000055000000}"/>
    <cellStyle name="Notitie 2 2" xfId="104" xr:uid="{00000000-0005-0000-0000-000056000000}"/>
    <cellStyle name="Notitie 3" xfId="76" xr:uid="{00000000-0005-0000-0000-000057000000}"/>
    <cellStyle name="Notitie 3 2" xfId="112" xr:uid="{00000000-0005-0000-0000-000058000000}"/>
    <cellStyle name="Ongeldig" xfId="14" builtinId="27" customBuiltin="1"/>
    <cellStyle name="Procent" xfId="7" builtinId="5"/>
    <cellStyle name="Procent 2" xfId="55" xr:uid="{00000000-0005-0000-0000-00005B000000}"/>
    <cellStyle name="Procent 2 2" xfId="103" xr:uid="{00000000-0005-0000-0000-00005C000000}"/>
    <cellStyle name="Procent 3" xfId="58" xr:uid="{00000000-0005-0000-0000-00005D000000}"/>
    <cellStyle name="Procent 4" xfId="70" xr:uid="{00000000-0005-0000-0000-00005E000000}"/>
    <cellStyle name="Procent 4 2" xfId="106" xr:uid="{00000000-0005-0000-0000-00005F000000}"/>
    <cellStyle name="Procent 5" xfId="53" xr:uid="{00000000-0005-0000-0000-000060000000}"/>
    <cellStyle name="Standaard" xfId="0" builtinId="0"/>
    <cellStyle name="Standaard 10" xfId="72" xr:uid="{00000000-0005-0000-0000-000062000000}"/>
    <cellStyle name="Standaard 10 2" xfId="108" xr:uid="{00000000-0005-0000-0000-000063000000}"/>
    <cellStyle name="Standaard 11" xfId="89" xr:uid="{00000000-0005-0000-0000-000064000000}"/>
    <cellStyle name="Standaard 12" xfId="48" xr:uid="{00000000-0005-0000-0000-000065000000}"/>
    <cellStyle name="Standaard 13" xfId="130" xr:uid="{1825CBE6-78E3-45F6-8587-C4A38ECE29D2}"/>
    <cellStyle name="Standaard 2" xfId="4" xr:uid="{00000000-0005-0000-0000-000066000000}"/>
    <cellStyle name="Standaard 2 2" xfId="63" xr:uid="{00000000-0005-0000-0000-000067000000}"/>
    <cellStyle name="Standaard 2 3" xfId="57" xr:uid="{00000000-0005-0000-0000-000068000000}"/>
    <cellStyle name="Standaard 2 4" xfId="51" xr:uid="{00000000-0005-0000-0000-000069000000}"/>
    <cellStyle name="Standaard 2_Amersfoort" xfId="67" xr:uid="{00000000-0005-0000-0000-00006A000000}"/>
    <cellStyle name="Standaard 3" xfId="5" xr:uid="{00000000-0005-0000-0000-00006B000000}"/>
    <cellStyle name="Standaard 3 2" xfId="60" xr:uid="{00000000-0005-0000-0000-00006C000000}"/>
    <cellStyle name="Standaard 3 3" xfId="50" xr:uid="{00000000-0005-0000-0000-00006D000000}"/>
    <cellStyle name="Standaard 3_Amersfoort" xfId="66" xr:uid="{00000000-0005-0000-0000-00006E000000}"/>
    <cellStyle name="Standaard 4" xfId="54" xr:uid="{00000000-0005-0000-0000-00006F000000}"/>
    <cellStyle name="Standaard 4 2" xfId="62" xr:uid="{00000000-0005-0000-0000-000070000000}"/>
    <cellStyle name="Standaard 4 3" xfId="102" xr:uid="{00000000-0005-0000-0000-000071000000}"/>
    <cellStyle name="Standaard 4_Amersfoort" xfId="65" xr:uid="{00000000-0005-0000-0000-000072000000}"/>
    <cellStyle name="Standaard 5" xfId="69" xr:uid="{00000000-0005-0000-0000-000073000000}"/>
    <cellStyle name="Standaard 5 2" xfId="105" xr:uid="{00000000-0005-0000-0000-000074000000}"/>
    <cellStyle name="Standaard 6" xfId="75" xr:uid="{00000000-0005-0000-0000-000075000000}"/>
    <cellStyle name="Standaard 6 2" xfId="111" xr:uid="{00000000-0005-0000-0000-000076000000}"/>
    <cellStyle name="Standaard 7" xfId="73" xr:uid="{00000000-0005-0000-0000-000077000000}"/>
    <cellStyle name="Standaard 7 2" xfId="109" xr:uid="{00000000-0005-0000-0000-000078000000}"/>
    <cellStyle name="Standaard 8" xfId="74" xr:uid="{00000000-0005-0000-0000-000079000000}"/>
    <cellStyle name="Standaard 8 2" xfId="110" xr:uid="{00000000-0005-0000-0000-00007A000000}"/>
    <cellStyle name="Standaard 9" xfId="71" xr:uid="{00000000-0005-0000-0000-00007B000000}"/>
    <cellStyle name="Standaard 9 2" xfId="107" xr:uid="{00000000-0005-0000-0000-00007C000000}"/>
    <cellStyle name="Titel" xfId="8" builtinId="15" customBuiltin="1"/>
    <cellStyle name="Totaal" xfId="23" builtinId="25" customBuiltin="1"/>
    <cellStyle name="Uitvoer" xfId="17" builtinId="21" customBuiltin="1"/>
    <cellStyle name="Verklarende tekst" xfId="22" builtinId="53" customBuiltin="1"/>
    <cellStyle name="Waarschuwingstekst" xfId="21" builtinId="11" customBuiltin="1"/>
  </cellStyles>
  <dxfs count="4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CC"/>
        </patternFill>
      </fill>
    </dxf>
    <dxf>
      <fill>
        <patternFill>
          <bgColor rgb="FFFF0000"/>
        </patternFill>
      </fill>
    </dxf>
    <dxf>
      <fill>
        <patternFill>
          <bgColor rgb="FFFF0000"/>
        </patternFill>
      </fill>
    </dxf>
    <dxf>
      <fill>
        <patternFill>
          <bgColor rgb="FF92D05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s>
  <tableStyles count="0" defaultTableStyle="TableStyleMedium9" defaultPivotStyle="PivotStyleLight16"/>
  <colors>
    <mruColors>
      <color rgb="FF66FF66"/>
      <color rgb="FFFFFFCC"/>
      <color rgb="FFCCFFFF"/>
      <color rgb="FF0000FF"/>
      <color rgb="FFFFFF99"/>
      <color rgb="FFFFFF00"/>
      <color rgb="FF92D050"/>
      <color rgb="FFFFCCFF"/>
      <color rgb="FFCCCCFF"/>
      <color rgb="FF8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Volumecorrecties</a:t>
            </a:r>
            <a:r>
              <a:rPr lang="nl-NL" b="1" baseline="0"/>
              <a:t> biogas ten gevolge van temperatuur- of drukverhoging</a:t>
            </a:r>
            <a:endParaRPr lang="nl-NL" b="1"/>
          </a:p>
        </c:rich>
      </c:tx>
      <c:layout>
        <c:manualLayout>
          <c:xMode val="edge"/>
          <c:yMode val="edge"/>
          <c:x val="0.16577849382993767"/>
          <c:y val="3.157255616272009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2360843571109316"/>
          <c:y val="9.8882912859936237E-2"/>
          <c:w val="0.84540447206644542"/>
          <c:h val="0.78127887019587028"/>
        </c:manualLayout>
      </c:layout>
      <c:scatterChart>
        <c:scatterStyle val="lineMarker"/>
        <c:varyColors val="0"/>
        <c:ser>
          <c:idx val="0"/>
          <c:order val="0"/>
          <c:tx>
            <c:strRef>
              <c:f>'Conversie m3 naar Nm3'!$F$53</c:f>
              <c:strCache>
                <c:ptCount val="1"/>
                <c:pt idx="0">
                  <c:v>Correctiefactor tov 0  oC</c:v>
                </c:pt>
              </c:strCache>
            </c:strRef>
          </c:tx>
          <c:spPr>
            <a:ln w="25400" cap="rnd">
              <a:solidFill>
                <a:srgbClr val="FF0000"/>
              </a:solidFill>
              <a:round/>
            </a:ln>
            <a:effectLst/>
          </c:spPr>
          <c:marker>
            <c:symbol val="circle"/>
            <c:size val="5"/>
            <c:spPr>
              <a:solidFill>
                <a:srgbClr val="FF0000"/>
              </a:solidFill>
              <a:ln w="9525">
                <a:solidFill>
                  <a:srgbClr val="FF0000"/>
                </a:solidFill>
              </a:ln>
              <a:effectLst/>
            </c:spPr>
          </c:marker>
          <c:xVal>
            <c:numRef>
              <c:f>'Conversie m3 naar Nm3'!$C$54:$C$78</c:f>
              <c:numCache>
                <c:formatCode>General</c:formatCode>
                <c:ptCount val="25"/>
                <c:pt idx="0">
                  <c:v>0</c:v>
                </c:pt>
                <c:pt idx="1">
                  <c:v>5</c:v>
                </c:pt>
                <c:pt idx="2">
                  <c:v>10</c:v>
                </c:pt>
                <c:pt idx="3">
                  <c:v>15</c:v>
                </c:pt>
                <c:pt idx="4">
                  <c:v>20</c:v>
                </c:pt>
                <c:pt idx="5">
                  <c:v>25</c:v>
                </c:pt>
                <c:pt idx="6">
                  <c:v>30</c:v>
                </c:pt>
                <c:pt idx="7">
                  <c:v>35</c:v>
                </c:pt>
                <c:pt idx="8">
                  <c:v>40</c:v>
                </c:pt>
                <c:pt idx="9">
                  <c:v>45</c:v>
                </c:pt>
                <c:pt idx="10">
                  <c:v>50</c:v>
                </c:pt>
                <c:pt idx="11">
                  <c:v>55</c:v>
                </c:pt>
                <c:pt idx="12">
                  <c:v>60</c:v>
                </c:pt>
                <c:pt idx="13">
                  <c:v>65</c:v>
                </c:pt>
                <c:pt idx="14">
                  <c:v>70</c:v>
                </c:pt>
                <c:pt idx="15">
                  <c:v>75</c:v>
                </c:pt>
                <c:pt idx="16">
                  <c:v>80</c:v>
                </c:pt>
                <c:pt idx="17">
                  <c:v>85</c:v>
                </c:pt>
                <c:pt idx="18">
                  <c:v>90</c:v>
                </c:pt>
                <c:pt idx="19">
                  <c:v>95</c:v>
                </c:pt>
                <c:pt idx="20">
                  <c:v>100</c:v>
                </c:pt>
                <c:pt idx="21">
                  <c:v>105</c:v>
                </c:pt>
                <c:pt idx="22">
                  <c:v>110</c:v>
                </c:pt>
                <c:pt idx="23">
                  <c:v>115</c:v>
                </c:pt>
                <c:pt idx="24">
                  <c:v>120</c:v>
                </c:pt>
              </c:numCache>
            </c:numRef>
          </c:xVal>
          <c:yVal>
            <c:numRef>
              <c:f>'Conversie m3 naar Nm3'!$F$54:$F$78</c:f>
              <c:numCache>
                <c:formatCode>General</c:formatCode>
                <c:ptCount val="25"/>
                <c:pt idx="0">
                  <c:v>1</c:v>
                </c:pt>
                <c:pt idx="1">
                  <c:v>0.98202408772245187</c:v>
                </c:pt>
                <c:pt idx="2">
                  <c:v>0.96468303019600921</c:v>
                </c:pt>
                <c:pt idx="3">
                  <c:v>0.9479437792816241</c:v>
                </c:pt>
                <c:pt idx="4">
                  <c:v>0.93177554153163911</c:v>
                </c:pt>
                <c:pt idx="5">
                  <c:v>0.91614958913298672</c:v>
                </c:pt>
                <c:pt idx="6">
                  <c:v>0.90103908955962386</c:v>
                </c:pt>
                <c:pt idx="7">
                  <c:v>0.88641895180918384</c:v>
                </c:pt>
                <c:pt idx="8">
                  <c:v>0.87226568737026977</c:v>
                </c:pt>
                <c:pt idx="9">
                  <c:v>0.85855728429985856</c:v>
                </c:pt>
                <c:pt idx="10">
                  <c:v>0.84527309299087106</c:v>
                </c:pt>
                <c:pt idx="11">
                  <c:v>0.83239372238305642</c:v>
                </c:pt>
                <c:pt idx="12">
                  <c:v>0.81990094552003601</c:v>
                </c:pt>
                <c:pt idx="13">
                  <c:v>0.80777761348513966</c:v>
                </c:pt>
                <c:pt idx="14">
                  <c:v>0.79600757686143075</c:v>
                </c:pt>
                <c:pt idx="15">
                  <c:v>0.78457561395950015</c:v>
                </c:pt>
                <c:pt idx="16">
                  <c:v>0.77346736514229075</c:v>
                </c:pt>
                <c:pt idx="17">
                  <c:v>0.76266927265112372</c:v>
                </c:pt>
                <c:pt idx="18">
                  <c:v>0.75216852540272616</c:v>
                </c:pt>
                <c:pt idx="19">
                  <c:v>0.74195300828466659</c:v>
                </c:pt>
                <c:pt idx="20">
                  <c:v>0.73201125552726787</c:v>
                </c:pt>
                <c:pt idx="21">
                  <c:v>0.72233240777469265</c:v>
                </c:pt>
                <c:pt idx="22">
                  <c:v>0.71290617251729094</c:v>
                </c:pt>
                <c:pt idx="23">
                  <c:v>0.70372278758212037</c:v>
                </c:pt>
                <c:pt idx="24">
                  <c:v>0.69477298740938576</c:v>
                </c:pt>
              </c:numCache>
            </c:numRef>
          </c:yVal>
          <c:smooth val="0"/>
          <c:extLst>
            <c:ext xmlns:c16="http://schemas.microsoft.com/office/drawing/2014/chart" uri="{C3380CC4-5D6E-409C-BE32-E72D297353CC}">
              <c16:uniqueId val="{00000000-95C5-4634-B5BA-18199114BE85}"/>
            </c:ext>
          </c:extLst>
        </c:ser>
        <c:ser>
          <c:idx val="1"/>
          <c:order val="1"/>
          <c:tx>
            <c:strRef>
              <c:f>'Conversie m3 naar Nm3'!$F$52</c:f>
              <c:strCache>
                <c:ptCount val="1"/>
                <c:pt idx="0">
                  <c:v>Drukcorrectie</c:v>
                </c:pt>
              </c:strCache>
            </c:strRef>
          </c:tx>
          <c:spPr>
            <a:ln w="25400" cap="rnd">
              <a:solidFill>
                <a:srgbClr val="0000FF"/>
              </a:solidFill>
              <a:round/>
            </a:ln>
            <a:effectLst/>
          </c:spPr>
          <c:marker>
            <c:symbol val="circle"/>
            <c:size val="5"/>
            <c:spPr>
              <a:solidFill>
                <a:srgbClr val="0000FF"/>
              </a:solidFill>
              <a:ln w="9525">
                <a:solidFill>
                  <a:srgbClr val="0000FF"/>
                </a:solidFill>
              </a:ln>
              <a:effectLst/>
            </c:spPr>
          </c:marker>
          <c:xVal>
            <c:numRef>
              <c:f>'Conversie m3 naar Nm3'!$G$54:$G$78</c:f>
              <c:numCache>
                <c:formatCode>General</c:formatCode>
                <c:ptCount val="25"/>
                <c:pt idx="0">
                  <c:v>0</c:v>
                </c:pt>
                <c:pt idx="1">
                  <c:v>5</c:v>
                </c:pt>
                <c:pt idx="2">
                  <c:v>10</c:v>
                </c:pt>
                <c:pt idx="3">
                  <c:v>15</c:v>
                </c:pt>
                <c:pt idx="4">
                  <c:v>20</c:v>
                </c:pt>
                <c:pt idx="5">
                  <c:v>25</c:v>
                </c:pt>
                <c:pt idx="6">
                  <c:v>30</c:v>
                </c:pt>
                <c:pt idx="7">
                  <c:v>35</c:v>
                </c:pt>
                <c:pt idx="8">
                  <c:v>40</c:v>
                </c:pt>
                <c:pt idx="9">
                  <c:v>45</c:v>
                </c:pt>
                <c:pt idx="10">
                  <c:v>50</c:v>
                </c:pt>
                <c:pt idx="11">
                  <c:v>55</c:v>
                </c:pt>
                <c:pt idx="12">
                  <c:v>60</c:v>
                </c:pt>
                <c:pt idx="13">
                  <c:v>65</c:v>
                </c:pt>
                <c:pt idx="14">
                  <c:v>70</c:v>
                </c:pt>
                <c:pt idx="15">
                  <c:v>75</c:v>
                </c:pt>
                <c:pt idx="16">
                  <c:v>80</c:v>
                </c:pt>
                <c:pt idx="17">
                  <c:v>85</c:v>
                </c:pt>
                <c:pt idx="18">
                  <c:v>90</c:v>
                </c:pt>
                <c:pt idx="19">
                  <c:v>95</c:v>
                </c:pt>
                <c:pt idx="20">
                  <c:v>100</c:v>
                </c:pt>
                <c:pt idx="21">
                  <c:v>105</c:v>
                </c:pt>
                <c:pt idx="22">
                  <c:v>110</c:v>
                </c:pt>
                <c:pt idx="23">
                  <c:v>115</c:v>
                </c:pt>
                <c:pt idx="24">
                  <c:v>120</c:v>
                </c:pt>
              </c:numCache>
            </c:numRef>
          </c:xVal>
          <c:yVal>
            <c:numRef>
              <c:f>'Conversie m3 naar Nm3'!$J$54:$J$78</c:f>
              <c:numCache>
                <c:formatCode>0.00000</c:formatCode>
                <c:ptCount val="25"/>
                <c:pt idx="0">
                  <c:v>1</c:v>
                </c:pt>
                <c:pt idx="1">
                  <c:v>1.0049251238600925</c:v>
                </c:pt>
                <c:pt idx="2">
                  <c:v>1.0098502477201847</c:v>
                </c:pt>
                <c:pt idx="3">
                  <c:v>1.0147753715802772</c:v>
                </c:pt>
                <c:pt idx="4">
                  <c:v>1.0197004954403694</c:v>
                </c:pt>
                <c:pt idx="5">
                  <c:v>1.0246256193004617</c:v>
                </c:pt>
                <c:pt idx="6">
                  <c:v>1.0295507431605542</c:v>
                </c:pt>
                <c:pt idx="7">
                  <c:v>1.0344758670206466</c:v>
                </c:pt>
                <c:pt idx="8">
                  <c:v>1.0394009908807391</c:v>
                </c:pt>
                <c:pt idx="9">
                  <c:v>1.0443261147408314</c:v>
                </c:pt>
                <c:pt idx="10">
                  <c:v>1.0492512386009238</c:v>
                </c:pt>
                <c:pt idx="11">
                  <c:v>1.0541763624610163</c:v>
                </c:pt>
                <c:pt idx="12">
                  <c:v>1.0591014863211086</c:v>
                </c:pt>
                <c:pt idx="13">
                  <c:v>1.0640266101812008</c:v>
                </c:pt>
                <c:pt idx="14">
                  <c:v>1.0689517340412933</c:v>
                </c:pt>
                <c:pt idx="15">
                  <c:v>1.0738768579013855</c:v>
                </c:pt>
                <c:pt idx="16">
                  <c:v>1.078801981761478</c:v>
                </c:pt>
                <c:pt idx="17">
                  <c:v>1.0837271056215705</c:v>
                </c:pt>
                <c:pt idx="18">
                  <c:v>1.0886522294816627</c:v>
                </c:pt>
                <c:pt idx="19">
                  <c:v>1.0935773533417552</c:v>
                </c:pt>
                <c:pt idx="20">
                  <c:v>1.0985024772018475</c:v>
                </c:pt>
                <c:pt idx="21">
                  <c:v>1.1034276010619399</c:v>
                </c:pt>
                <c:pt idx="22">
                  <c:v>1.1083527249220322</c:v>
                </c:pt>
                <c:pt idx="23">
                  <c:v>1.1132778487821247</c:v>
                </c:pt>
                <c:pt idx="24">
                  <c:v>1.1182029726422171</c:v>
                </c:pt>
              </c:numCache>
            </c:numRef>
          </c:yVal>
          <c:smooth val="0"/>
          <c:extLst>
            <c:ext xmlns:c16="http://schemas.microsoft.com/office/drawing/2014/chart" uri="{C3380CC4-5D6E-409C-BE32-E72D297353CC}">
              <c16:uniqueId val="{00000001-95C5-4634-B5BA-18199114BE85}"/>
            </c:ext>
          </c:extLst>
        </c:ser>
        <c:ser>
          <c:idx val="2"/>
          <c:order val="2"/>
          <c:tx>
            <c:v>Temperatuur</c:v>
          </c:tx>
          <c:spPr>
            <a:ln w="19050" cap="rnd">
              <a:noFill/>
              <a:round/>
            </a:ln>
            <a:effectLst/>
          </c:spPr>
          <c:marker>
            <c:symbol val="circle"/>
            <c:size val="8"/>
            <c:spPr>
              <a:solidFill>
                <a:srgbClr val="FF0000"/>
              </a:solidFill>
              <a:ln w="9525">
                <a:solidFill>
                  <a:srgbClr val="FF0000"/>
                </a:solidFill>
              </a:ln>
              <a:effectLst/>
            </c:spPr>
          </c:marker>
          <c:xVal>
            <c:numRef>
              <c:f>'Conversie m3 naar Nm3'!$D$11</c:f>
              <c:numCache>
                <c:formatCode>General</c:formatCode>
                <c:ptCount val="1"/>
                <c:pt idx="0">
                  <c:v>40</c:v>
                </c:pt>
              </c:numCache>
            </c:numRef>
          </c:xVal>
          <c:yVal>
            <c:numLit>
              <c:formatCode>General</c:formatCode>
              <c:ptCount val="1"/>
              <c:pt idx="0">
                <c:v>1</c:v>
              </c:pt>
            </c:numLit>
          </c:yVal>
          <c:smooth val="0"/>
          <c:extLst>
            <c:ext xmlns:c16="http://schemas.microsoft.com/office/drawing/2014/chart" uri="{C3380CC4-5D6E-409C-BE32-E72D297353CC}">
              <c16:uniqueId val="{00000002-95C5-4634-B5BA-18199114BE85}"/>
            </c:ext>
          </c:extLst>
        </c:ser>
        <c:ser>
          <c:idx val="3"/>
          <c:order val="3"/>
          <c:tx>
            <c:v>Druk</c:v>
          </c:tx>
          <c:spPr>
            <a:ln w="19050" cap="rnd">
              <a:noFill/>
              <a:round/>
            </a:ln>
            <a:effectLst/>
          </c:spPr>
          <c:marker>
            <c:symbol val="circle"/>
            <c:size val="8"/>
            <c:spPr>
              <a:solidFill>
                <a:srgbClr val="0000FF"/>
              </a:solidFill>
              <a:ln w="9525">
                <a:solidFill>
                  <a:srgbClr val="0000FF"/>
                </a:solidFill>
              </a:ln>
              <a:effectLst/>
            </c:spPr>
          </c:marker>
          <c:xVal>
            <c:numRef>
              <c:f>'Conversie m3 naar Nm3'!$D$12</c:f>
              <c:numCache>
                <c:formatCode>General</c:formatCode>
                <c:ptCount val="1"/>
                <c:pt idx="0">
                  <c:v>50</c:v>
                </c:pt>
              </c:numCache>
            </c:numRef>
          </c:xVal>
          <c:yVal>
            <c:numLit>
              <c:formatCode>General</c:formatCode>
              <c:ptCount val="1"/>
              <c:pt idx="0">
                <c:v>1</c:v>
              </c:pt>
            </c:numLit>
          </c:yVal>
          <c:smooth val="0"/>
          <c:extLst>
            <c:ext xmlns:c16="http://schemas.microsoft.com/office/drawing/2014/chart" uri="{C3380CC4-5D6E-409C-BE32-E72D297353CC}">
              <c16:uniqueId val="{00000003-95C5-4634-B5BA-18199114BE85}"/>
            </c:ext>
          </c:extLst>
        </c:ser>
        <c:dLbls>
          <c:showLegendKey val="0"/>
          <c:showVal val="0"/>
          <c:showCatName val="0"/>
          <c:showSerName val="0"/>
          <c:showPercent val="0"/>
          <c:showBubbleSize val="0"/>
        </c:dLbls>
        <c:axId val="615066792"/>
        <c:axId val="615068432"/>
      </c:scatterChart>
      <c:valAx>
        <c:axId val="615066792"/>
        <c:scaling>
          <c:orientation val="minMax"/>
          <c:max val="12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nl-NL" sz="1100" b="1"/>
                  <a:t>Gastemperatuur</a:t>
                </a:r>
                <a:r>
                  <a:rPr lang="nl-NL" sz="1100" b="1" baseline="0"/>
                  <a:t> in </a:t>
                </a:r>
                <a:r>
                  <a:rPr lang="nl-NL" sz="1100" b="1" baseline="30000"/>
                  <a:t>o</a:t>
                </a:r>
                <a:r>
                  <a:rPr lang="nl-NL" sz="1100" b="1" baseline="0"/>
                  <a:t>C óf Gasoverdruk in cmWK</a:t>
                </a:r>
                <a:endParaRPr lang="nl-NL" sz="1100" b="1"/>
              </a:p>
            </c:rich>
          </c:tx>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nl-NL"/>
          </a:p>
        </c:txPr>
        <c:crossAx val="615068432"/>
        <c:crossesAt val="1"/>
        <c:crossBetween val="midCat"/>
        <c:majorUnit val="10"/>
      </c:valAx>
      <c:valAx>
        <c:axId val="615068432"/>
        <c:scaling>
          <c:orientation val="minMax"/>
          <c:min val="0.60000000000000009"/>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sz="1100" b="1"/>
                  <a:t>Temperatuur of Druk afhankelijke correctiefactor </a:t>
                </a:r>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nl-NL"/>
            </a:p>
          </c:txPr>
        </c:title>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nl-NL"/>
          </a:p>
        </c:txPr>
        <c:crossAx val="615066792"/>
        <c:crosses val="autoZero"/>
        <c:crossBetween val="midCat"/>
      </c:valAx>
      <c:spPr>
        <a:noFill/>
        <a:ln>
          <a:noFill/>
        </a:ln>
        <a:effectLst/>
      </c:spPr>
    </c:plotArea>
    <c:legend>
      <c:legendPos val="r"/>
      <c:layout>
        <c:manualLayout>
          <c:xMode val="edge"/>
          <c:yMode val="edge"/>
          <c:x val="0.1275866987850211"/>
          <c:y val="0.67761005804361929"/>
          <c:w val="0.2304840595613793"/>
          <c:h val="0.16784576808900059"/>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spc="50" normalizeH="0" baseline="0">
                <a:solidFill>
                  <a:schemeClr val="tx1">
                    <a:lumMod val="65000"/>
                    <a:lumOff val="35000"/>
                  </a:schemeClr>
                </a:solidFill>
                <a:latin typeface="+mn-lt"/>
                <a:ea typeface="+mj-ea"/>
                <a:cs typeface="+mj-cs"/>
              </a:defRPr>
            </a:pPr>
            <a:r>
              <a:rPr lang="nl-NL" sz="1400" b="1">
                <a:latin typeface="+mn-lt"/>
              </a:rPr>
              <a:t>Biogas met variërend aandeel methaan</a:t>
            </a:r>
          </a:p>
        </c:rich>
      </c:tx>
      <c:overlay val="0"/>
      <c:spPr>
        <a:noFill/>
        <a:ln>
          <a:noFill/>
        </a:ln>
        <a:effectLst/>
      </c:spPr>
      <c:txPr>
        <a:bodyPr rot="0" spcFirstLastPara="1" vertOverflow="ellipsis" vert="horz" wrap="square" anchor="ctr" anchorCtr="1"/>
        <a:lstStyle/>
        <a:p>
          <a:pPr>
            <a:defRPr sz="1400" b="1" i="0" u="none" strike="noStrike" kern="1200" cap="none" spc="50" normalizeH="0" baseline="0">
              <a:solidFill>
                <a:schemeClr val="tx1">
                  <a:lumMod val="65000"/>
                  <a:lumOff val="35000"/>
                </a:schemeClr>
              </a:solidFill>
              <a:latin typeface="+mn-lt"/>
              <a:ea typeface="+mj-ea"/>
              <a:cs typeface="+mj-cs"/>
            </a:defRPr>
          </a:pPr>
          <a:endParaRPr lang="nl-NL"/>
        </a:p>
      </c:txPr>
    </c:title>
    <c:autoTitleDeleted val="0"/>
    <c:plotArea>
      <c:layout>
        <c:manualLayout>
          <c:layoutTarget val="inner"/>
          <c:xMode val="edge"/>
          <c:yMode val="edge"/>
          <c:x val="0.10859976902887139"/>
          <c:y val="0.22732685874219957"/>
          <c:w val="0.85982420997375331"/>
          <c:h val="0.65108800759172836"/>
        </c:manualLayout>
      </c:layout>
      <c:scatterChart>
        <c:scatterStyle val="lineMarker"/>
        <c:varyColors val="0"/>
        <c:ser>
          <c:idx val="0"/>
          <c:order val="0"/>
          <c:tx>
            <c:strRef>
              <c:f>Biogassamenstelling!$G$17</c:f>
              <c:strCache>
                <c:ptCount val="1"/>
                <c:pt idx="0">
                  <c:v>gewicht biogas in g/Nm3</c:v>
                </c:pt>
              </c:strCache>
            </c:strRef>
          </c:tx>
          <c:spPr>
            <a:ln w="19050" cap="rnd">
              <a:solidFill>
                <a:schemeClr val="accent1">
                  <a:alpha val="60000"/>
                </a:schemeClr>
              </a:solidFill>
              <a:round/>
            </a:ln>
            <a:effectLst/>
          </c:spPr>
          <c:marker>
            <c:symbol val="circle"/>
            <c:size val="6"/>
            <c:spPr>
              <a:solidFill>
                <a:schemeClr val="lt1"/>
              </a:solidFill>
              <a:ln w="38100">
                <a:solidFill>
                  <a:schemeClr val="accent1">
                    <a:alpha val="60000"/>
                  </a:schemeClr>
                </a:solidFill>
              </a:ln>
              <a:effectLst/>
            </c:spPr>
          </c:marker>
          <c:xVal>
            <c:numRef>
              <c:f>Biogassamenstelling!$F$19:$F$29</c:f>
              <c:numCache>
                <c:formatCode>0%</c:formatCode>
                <c:ptCount val="11"/>
                <c:pt idx="0">
                  <c:v>0.55000000000000004</c:v>
                </c:pt>
                <c:pt idx="1">
                  <c:v>0.56000000000000005</c:v>
                </c:pt>
                <c:pt idx="2">
                  <c:v>0.56999999999999995</c:v>
                </c:pt>
                <c:pt idx="3">
                  <c:v>0.57999999999999996</c:v>
                </c:pt>
                <c:pt idx="4">
                  <c:v>0.59</c:v>
                </c:pt>
                <c:pt idx="5">
                  <c:v>0.6</c:v>
                </c:pt>
                <c:pt idx="6">
                  <c:v>0.61</c:v>
                </c:pt>
                <c:pt idx="7">
                  <c:v>0.62</c:v>
                </c:pt>
                <c:pt idx="8">
                  <c:v>0.63</c:v>
                </c:pt>
                <c:pt idx="9">
                  <c:v>0.64</c:v>
                </c:pt>
                <c:pt idx="10">
                  <c:v>0.65</c:v>
                </c:pt>
              </c:numCache>
            </c:numRef>
          </c:xVal>
          <c:yVal>
            <c:numRef>
              <c:f>Biogassamenstelling!$G$19:$G$29</c:f>
              <c:numCache>
                <c:formatCode>_-* #,##0.000_-;_-* #,##0.000\-;_-* "-"??_-;_-@_-</c:formatCode>
                <c:ptCount val="11"/>
                <c:pt idx="0">
                  <c:v>1276.7857142857142</c:v>
                </c:pt>
                <c:pt idx="1">
                  <c:v>1264.2857142857142</c:v>
                </c:pt>
                <c:pt idx="2">
                  <c:v>1251.7857142857144</c:v>
                </c:pt>
                <c:pt idx="3">
                  <c:v>1239.2857142857144</c:v>
                </c:pt>
                <c:pt idx="4">
                  <c:v>1226.7857142857142</c:v>
                </c:pt>
                <c:pt idx="5">
                  <c:v>1214.2857142857144</c:v>
                </c:pt>
                <c:pt idx="6">
                  <c:v>1201.7857142857144</c:v>
                </c:pt>
                <c:pt idx="7">
                  <c:v>1189.2857142857142</c:v>
                </c:pt>
                <c:pt idx="8">
                  <c:v>1176.7857142857142</c:v>
                </c:pt>
                <c:pt idx="9">
                  <c:v>1164.2857142857144</c:v>
                </c:pt>
                <c:pt idx="10">
                  <c:v>1151.7857142857144</c:v>
                </c:pt>
              </c:numCache>
            </c:numRef>
          </c:yVal>
          <c:smooth val="0"/>
          <c:extLst>
            <c:ext xmlns:c16="http://schemas.microsoft.com/office/drawing/2014/chart" uri="{C3380CC4-5D6E-409C-BE32-E72D297353CC}">
              <c16:uniqueId val="{00000000-591A-4CC5-9B39-8B3F19DCE557}"/>
            </c:ext>
          </c:extLst>
        </c:ser>
        <c:ser>
          <c:idx val="1"/>
          <c:order val="1"/>
          <c:tx>
            <c:strRef>
              <c:f>Biogassamenstelling!$H$17</c:f>
              <c:strCache>
                <c:ptCount val="1"/>
                <c:pt idx="0">
                  <c:v>CZV-waarde biogas in gO2/Nm3</c:v>
                </c:pt>
              </c:strCache>
            </c:strRef>
          </c:tx>
          <c:spPr>
            <a:ln w="19050" cap="rnd">
              <a:solidFill>
                <a:schemeClr val="accent2">
                  <a:alpha val="60000"/>
                </a:schemeClr>
              </a:solidFill>
              <a:round/>
            </a:ln>
            <a:effectLst/>
          </c:spPr>
          <c:marker>
            <c:symbol val="circle"/>
            <c:size val="6"/>
            <c:spPr>
              <a:solidFill>
                <a:schemeClr val="lt1"/>
              </a:solidFill>
              <a:ln w="38100">
                <a:solidFill>
                  <a:schemeClr val="accent2">
                    <a:alpha val="60000"/>
                  </a:schemeClr>
                </a:solidFill>
              </a:ln>
              <a:effectLst/>
            </c:spPr>
          </c:marker>
          <c:xVal>
            <c:numRef>
              <c:f>Biogassamenstelling!$F$19:$F$29</c:f>
              <c:numCache>
                <c:formatCode>0%</c:formatCode>
                <c:ptCount val="11"/>
                <c:pt idx="0">
                  <c:v>0.55000000000000004</c:v>
                </c:pt>
                <c:pt idx="1">
                  <c:v>0.56000000000000005</c:v>
                </c:pt>
                <c:pt idx="2">
                  <c:v>0.56999999999999995</c:v>
                </c:pt>
                <c:pt idx="3">
                  <c:v>0.57999999999999996</c:v>
                </c:pt>
                <c:pt idx="4">
                  <c:v>0.59</c:v>
                </c:pt>
                <c:pt idx="5">
                  <c:v>0.6</c:v>
                </c:pt>
                <c:pt idx="6">
                  <c:v>0.61</c:v>
                </c:pt>
                <c:pt idx="7">
                  <c:v>0.62</c:v>
                </c:pt>
                <c:pt idx="8">
                  <c:v>0.63</c:v>
                </c:pt>
                <c:pt idx="9">
                  <c:v>0.64</c:v>
                </c:pt>
                <c:pt idx="10">
                  <c:v>0.65</c:v>
                </c:pt>
              </c:numCache>
            </c:numRef>
          </c:xVal>
          <c:yVal>
            <c:numRef>
              <c:f>Biogassamenstelling!$H$19:$H$30</c:f>
              <c:numCache>
                <c:formatCode>_-* #,##0.000_-;_-* #,##0.000\-;_-* "-"??_-;_-@_-</c:formatCode>
                <c:ptCount val="12"/>
                <c:pt idx="0">
                  <c:v>1571.4285714285716</c:v>
                </c:pt>
                <c:pt idx="1">
                  <c:v>1600</c:v>
                </c:pt>
                <c:pt idx="2">
                  <c:v>1628.5714285714287</c:v>
                </c:pt>
                <c:pt idx="3">
                  <c:v>1657.1428571428573</c:v>
                </c:pt>
                <c:pt idx="4">
                  <c:v>1685.7142857142858</c:v>
                </c:pt>
                <c:pt idx="5">
                  <c:v>1714.2857142857144</c:v>
                </c:pt>
                <c:pt idx="6">
                  <c:v>1742.8571428571429</c:v>
                </c:pt>
                <c:pt idx="7">
                  <c:v>1771.4285714285716</c:v>
                </c:pt>
                <c:pt idx="8">
                  <c:v>1800.0000000000002</c:v>
                </c:pt>
                <c:pt idx="9">
                  <c:v>1828.5714285714287</c:v>
                </c:pt>
                <c:pt idx="10">
                  <c:v>1857.1428571428573</c:v>
                </c:pt>
              </c:numCache>
            </c:numRef>
          </c:yVal>
          <c:smooth val="0"/>
          <c:extLst>
            <c:ext xmlns:c16="http://schemas.microsoft.com/office/drawing/2014/chart" uri="{C3380CC4-5D6E-409C-BE32-E72D297353CC}">
              <c16:uniqueId val="{00000001-591A-4CC5-9B39-8B3F19DCE557}"/>
            </c:ext>
          </c:extLst>
        </c:ser>
        <c:ser>
          <c:idx val="2"/>
          <c:order val="2"/>
          <c:tx>
            <c:strRef>
              <c:f>Biogassamenstelling!$I$17</c:f>
              <c:strCache>
                <c:ptCount val="1"/>
                <c:pt idx="0">
                  <c:v>Equivalent CO2-gehalte van het  biogas in g CO2/Nm3</c:v>
                </c:pt>
              </c:strCache>
            </c:strRef>
          </c:tx>
          <c:spPr>
            <a:ln w="19050" cap="rnd">
              <a:solidFill>
                <a:schemeClr val="accent3">
                  <a:alpha val="60000"/>
                </a:schemeClr>
              </a:solidFill>
              <a:round/>
            </a:ln>
            <a:effectLst/>
          </c:spPr>
          <c:marker>
            <c:symbol val="circle"/>
            <c:size val="6"/>
            <c:spPr>
              <a:solidFill>
                <a:schemeClr val="lt1"/>
              </a:solidFill>
              <a:ln w="38100">
                <a:solidFill>
                  <a:schemeClr val="accent3">
                    <a:alpha val="60000"/>
                  </a:schemeClr>
                </a:solidFill>
              </a:ln>
              <a:effectLst/>
            </c:spPr>
          </c:marker>
          <c:xVal>
            <c:numRef>
              <c:f>Biogassamenstelling!$F$19:$F$29</c:f>
              <c:numCache>
                <c:formatCode>0%</c:formatCode>
                <c:ptCount val="11"/>
                <c:pt idx="0">
                  <c:v>0.55000000000000004</c:v>
                </c:pt>
                <c:pt idx="1">
                  <c:v>0.56000000000000005</c:v>
                </c:pt>
                <c:pt idx="2">
                  <c:v>0.56999999999999995</c:v>
                </c:pt>
                <c:pt idx="3">
                  <c:v>0.57999999999999996</c:v>
                </c:pt>
                <c:pt idx="4">
                  <c:v>0.59</c:v>
                </c:pt>
                <c:pt idx="5">
                  <c:v>0.6</c:v>
                </c:pt>
                <c:pt idx="6">
                  <c:v>0.61</c:v>
                </c:pt>
                <c:pt idx="7">
                  <c:v>0.62</c:v>
                </c:pt>
                <c:pt idx="8">
                  <c:v>0.63</c:v>
                </c:pt>
                <c:pt idx="9">
                  <c:v>0.64</c:v>
                </c:pt>
                <c:pt idx="10">
                  <c:v>0.65</c:v>
                </c:pt>
              </c:numCache>
            </c:numRef>
          </c:xVal>
          <c:yVal>
            <c:numRef>
              <c:f>Biogassamenstelling!$I$19:$I$29</c:f>
              <c:numCache>
                <c:formatCode>_-* #,##0.000_-;_-* #,##0.000\-;_-* "-"??_-;_-@_-</c:formatCode>
                <c:ptCount val="11"/>
                <c:pt idx="0">
                  <c:v>1964.2857142857142</c:v>
                </c:pt>
                <c:pt idx="1">
                  <c:v>1964.2857142857142</c:v>
                </c:pt>
                <c:pt idx="2">
                  <c:v>1964.2857142857144</c:v>
                </c:pt>
                <c:pt idx="3">
                  <c:v>1964.2857142857147</c:v>
                </c:pt>
                <c:pt idx="4">
                  <c:v>1964.2857142857144</c:v>
                </c:pt>
                <c:pt idx="5">
                  <c:v>1964.2857142857144</c:v>
                </c:pt>
                <c:pt idx="6">
                  <c:v>1964.2857142857144</c:v>
                </c:pt>
                <c:pt idx="7">
                  <c:v>1964.2857142857142</c:v>
                </c:pt>
                <c:pt idx="8">
                  <c:v>1964.2857142857144</c:v>
                </c:pt>
                <c:pt idx="9">
                  <c:v>1964.2857142857142</c:v>
                </c:pt>
                <c:pt idx="10">
                  <c:v>1964.2857142857147</c:v>
                </c:pt>
              </c:numCache>
            </c:numRef>
          </c:yVal>
          <c:smooth val="0"/>
          <c:extLst>
            <c:ext xmlns:c16="http://schemas.microsoft.com/office/drawing/2014/chart" uri="{C3380CC4-5D6E-409C-BE32-E72D297353CC}">
              <c16:uniqueId val="{00000002-591A-4CC5-9B39-8B3F19DCE557}"/>
            </c:ext>
          </c:extLst>
        </c:ser>
        <c:ser>
          <c:idx val="3"/>
          <c:order val="3"/>
          <c:tx>
            <c:v>Gegevenaandeel</c:v>
          </c:tx>
          <c:spPr>
            <a:ln w="19050" cap="rnd">
              <a:noFill/>
              <a:round/>
            </a:ln>
            <a:effectLst/>
          </c:spPr>
          <c:marker>
            <c:symbol val="circle"/>
            <c:size val="6"/>
            <c:spPr>
              <a:solidFill>
                <a:schemeClr val="accent1"/>
              </a:solidFill>
              <a:ln w="38100">
                <a:solidFill>
                  <a:schemeClr val="accent1">
                    <a:alpha val="60000"/>
                  </a:schemeClr>
                </a:solidFill>
              </a:ln>
              <a:effectLst/>
            </c:spPr>
          </c:marker>
          <c:xVal>
            <c:numRef>
              <c:f>Biogassamenstelling!$D$17</c:f>
              <c:numCache>
                <c:formatCode>0%</c:formatCode>
                <c:ptCount val="1"/>
                <c:pt idx="0">
                  <c:v>0.6</c:v>
                </c:pt>
              </c:numCache>
            </c:numRef>
          </c:xVal>
          <c:yVal>
            <c:numRef>
              <c:f>Biogassamenstelling!$G$18</c:f>
              <c:numCache>
                <c:formatCode>_-* #,##0.000_-;_-* #,##0.000\-;_-* "-"??_-;_-@_-</c:formatCode>
                <c:ptCount val="1"/>
                <c:pt idx="0">
                  <c:v>1214.2857142857144</c:v>
                </c:pt>
              </c:numCache>
            </c:numRef>
          </c:yVal>
          <c:smooth val="0"/>
          <c:extLst>
            <c:ext xmlns:c16="http://schemas.microsoft.com/office/drawing/2014/chart" uri="{C3380CC4-5D6E-409C-BE32-E72D297353CC}">
              <c16:uniqueId val="{00000003-591A-4CC5-9B39-8B3F19DCE557}"/>
            </c:ext>
          </c:extLst>
        </c:ser>
        <c:ser>
          <c:idx val="4"/>
          <c:order val="4"/>
          <c:tx>
            <c:v>Gegeven aandeel 2</c:v>
          </c:tx>
          <c:spPr>
            <a:ln w="19050" cap="rnd">
              <a:solidFill>
                <a:schemeClr val="accent5">
                  <a:alpha val="60000"/>
                </a:schemeClr>
              </a:solidFill>
              <a:round/>
            </a:ln>
            <a:effectLst/>
          </c:spPr>
          <c:marker>
            <c:symbol val="circle"/>
            <c:size val="6"/>
            <c:spPr>
              <a:solidFill>
                <a:srgbClr val="C00000"/>
              </a:solidFill>
              <a:ln w="38100">
                <a:solidFill>
                  <a:srgbClr val="C00000">
                    <a:alpha val="60000"/>
                  </a:srgbClr>
                </a:solidFill>
              </a:ln>
              <a:effectLst/>
            </c:spPr>
          </c:marker>
          <c:xVal>
            <c:numRef>
              <c:f>Biogassamenstelling!$D$17</c:f>
              <c:numCache>
                <c:formatCode>0%</c:formatCode>
                <c:ptCount val="1"/>
                <c:pt idx="0">
                  <c:v>0.6</c:v>
                </c:pt>
              </c:numCache>
            </c:numRef>
          </c:xVal>
          <c:yVal>
            <c:numRef>
              <c:f>Biogassamenstelling!$H$18</c:f>
              <c:numCache>
                <c:formatCode>_-* #,##0.000_-;_-* #,##0.000\-;_-* "-"??_-;_-@_-</c:formatCode>
                <c:ptCount val="1"/>
                <c:pt idx="0">
                  <c:v>1714.2857142857144</c:v>
                </c:pt>
              </c:numCache>
            </c:numRef>
          </c:yVal>
          <c:smooth val="0"/>
          <c:extLst>
            <c:ext xmlns:c16="http://schemas.microsoft.com/office/drawing/2014/chart" uri="{C3380CC4-5D6E-409C-BE32-E72D297353CC}">
              <c16:uniqueId val="{00000004-591A-4CC5-9B39-8B3F19DCE557}"/>
            </c:ext>
          </c:extLst>
        </c:ser>
        <c:ser>
          <c:idx val="5"/>
          <c:order val="5"/>
          <c:tx>
            <c:v>Gegeven aandeel 3</c:v>
          </c:tx>
          <c:spPr>
            <a:ln w="19050" cap="rnd">
              <a:solidFill>
                <a:schemeClr val="accent6">
                  <a:alpha val="60000"/>
                </a:schemeClr>
              </a:solidFill>
              <a:round/>
            </a:ln>
            <a:effectLst/>
          </c:spPr>
          <c:marker>
            <c:symbol val="circle"/>
            <c:size val="6"/>
            <c:spPr>
              <a:solidFill>
                <a:schemeClr val="accent3"/>
              </a:solidFill>
              <a:ln w="38100">
                <a:solidFill>
                  <a:schemeClr val="accent3">
                    <a:alpha val="60000"/>
                  </a:schemeClr>
                </a:solidFill>
              </a:ln>
              <a:effectLst/>
            </c:spPr>
          </c:marker>
          <c:xVal>
            <c:numRef>
              <c:f>Biogassamenstelling!$D$17</c:f>
              <c:numCache>
                <c:formatCode>0%</c:formatCode>
                <c:ptCount val="1"/>
                <c:pt idx="0">
                  <c:v>0.6</c:v>
                </c:pt>
              </c:numCache>
            </c:numRef>
          </c:xVal>
          <c:yVal>
            <c:numRef>
              <c:f>Biogassamenstelling!$I$18</c:f>
              <c:numCache>
                <c:formatCode>_-* #,##0.000_-;_-* #,##0.000\-;_-* "-"??_-;_-@_-</c:formatCode>
                <c:ptCount val="1"/>
                <c:pt idx="0">
                  <c:v>1964.2857142857144</c:v>
                </c:pt>
              </c:numCache>
            </c:numRef>
          </c:yVal>
          <c:smooth val="0"/>
          <c:extLst>
            <c:ext xmlns:c16="http://schemas.microsoft.com/office/drawing/2014/chart" uri="{C3380CC4-5D6E-409C-BE32-E72D297353CC}">
              <c16:uniqueId val="{00000005-591A-4CC5-9B39-8B3F19DCE557}"/>
            </c:ext>
          </c:extLst>
        </c:ser>
        <c:dLbls>
          <c:showLegendKey val="0"/>
          <c:showVal val="0"/>
          <c:showCatName val="0"/>
          <c:showSerName val="0"/>
          <c:showPercent val="0"/>
          <c:showBubbleSize val="0"/>
        </c:dLbls>
        <c:axId val="642158424"/>
        <c:axId val="642165312"/>
      </c:scatterChart>
      <c:valAx>
        <c:axId val="6421584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cap="none" baseline="0">
                    <a:solidFill>
                      <a:schemeClr val="tx1">
                        <a:lumMod val="65000"/>
                        <a:lumOff val="35000"/>
                      </a:schemeClr>
                    </a:solidFill>
                    <a:latin typeface="+mn-lt"/>
                    <a:ea typeface="+mn-ea"/>
                    <a:cs typeface="+mn-cs"/>
                  </a:defRPr>
                </a:pPr>
                <a:r>
                  <a:rPr lang="nl-NL" sz="1200" cap="none" baseline="0"/>
                  <a:t>Aandeel methaan in biogas in volume-%</a:t>
                </a:r>
              </a:p>
            </c:rich>
          </c:tx>
          <c:overlay val="0"/>
          <c:spPr>
            <a:noFill/>
            <a:ln>
              <a:noFill/>
            </a:ln>
            <a:effectLst/>
          </c:spPr>
          <c:txPr>
            <a:bodyPr rot="0" spcFirstLastPara="1" vertOverflow="ellipsis" vert="horz" wrap="square" anchor="ctr" anchorCtr="1"/>
            <a:lstStyle/>
            <a:p>
              <a:pPr>
                <a:defRPr sz="1200" b="0" i="0" u="none" strike="noStrike" kern="1200" cap="none"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solidFill>
              <a:schemeClr val="tx1">
                <a:lumMod val="15000"/>
                <a:lumOff val="85000"/>
              </a:schemeClr>
            </a:solidFill>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nl-NL"/>
          </a:p>
        </c:txPr>
        <c:crossAx val="642165312"/>
        <c:crosses val="autoZero"/>
        <c:crossBetween val="midCat"/>
      </c:valAx>
      <c:valAx>
        <c:axId val="642165312"/>
        <c:scaling>
          <c:orientation val="minMax"/>
          <c:max val="2000"/>
          <c:min val="1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cap="none" baseline="0">
                    <a:solidFill>
                      <a:schemeClr val="tx1">
                        <a:lumMod val="65000"/>
                        <a:lumOff val="35000"/>
                      </a:schemeClr>
                    </a:solidFill>
                    <a:latin typeface="+mn-lt"/>
                    <a:ea typeface="+mn-ea"/>
                    <a:cs typeface="+mn-cs"/>
                  </a:defRPr>
                </a:pPr>
                <a:r>
                  <a:rPr lang="en-US" sz="1200" cap="none" baseline="0"/>
                  <a:t>Waarde in g/Nm3</a:t>
                </a:r>
              </a:p>
            </c:rich>
          </c:tx>
          <c:layout>
            <c:manualLayout>
              <c:xMode val="edge"/>
              <c:yMode val="edge"/>
              <c:x val="6.1802834645669292E-3"/>
              <c:y val="0.39685255590190816"/>
            </c:manualLayout>
          </c:layout>
          <c:overlay val="0"/>
          <c:spPr>
            <a:noFill/>
            <a:ln>
              <a:noFill/>
            </a:ln>
            <a:effectLst/>
          </c:spPr>
          <c:txPr>
            <a:bodyPr rot="-5400000" spcFirstLastPara="1" vertOverflow="ellipsis" vert="horz" wrap="square" anchor="ctr" anchorCtr="1"/>
            <a:lstStyle/>
            <a:p>
              <a:pPr>
                <a:defRPr sz="1200" b="0" i="0" u="none" strike="noStrike" kern="1200" cap="none"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solidFill>
              <a:schemeClr val="tx1">
                <a:lumMod val="25000"/>
                <a:lumOff val="75000"/>
              </a:schemeClr>
            </a:solid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nl-NL"/>
          </a:p>
        </c:txPr>
        <c:crossAx val="642158424"/>
        <c:crosses val="autoZero"/>
        <c:crossBetween val="midCat"/>
      </c:valAx>
      <c:spPr>
        <a:noFill/>
        <a:ln>
          <a:noFill/>
        </a:ln>
        <a:effectLst/>
      </c:spPr>
    </c:plotArea>
    <c:legend>
      <c:legendPos val="b"/>
      <c:layout>
        <c:manualLayout>
          <c:xMode val="edge"/>
          <c:yMode val="edge"/>
          <c:x val="0.18972006547961995"/>
          <c:y val="9.3749105225483215E-2"/>
          <c:w val="0.57774664566929135"/>
          <c:h val="0.107893717315562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2" Type="http://schemas.openxmlformats.org/officeDocument/2006/relationships/image" Target="../media/image4.jp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36635</xdr:colOff>
      <xdr:row>34</xdr:row>
      <xdr:rowOff>157655</xdr:rowOff>
    </xdr:from>
    <xdr:to>
      <xdr:col>9</xdr:col>
      <xdr:colOff>0</xdr:colOff>
      <xdr:row>38</xdr:row>
      <xdr:rowOff>152400</xdr:rowOff>
    </xdr:to>
    <xdr:sp macro="" textlink="">
      <xdr:nvSpPr>
        <xdr:cNvPr id="2" name="Tekstvak 1">
          <a:extLst>
            <a:ext uri="{FF2B5EF4-FFF2-40B4-BE49-F238E27FC236}">
              <a16:creationId xmlns:a16="http://schemas.microsoft.com/office/drawing/2014/main" id="{C1010866-E698-4A62-9561-8601BC54A6EC}"/>
            </a:ext>
          </a:extLst>
        </xdr:cNvPr>
        <xdr:cNvSpPr txBox="1"/>
      </xdr:nvSpPr>
      <xdr:spPr>
        <a:xfrm>
          <a:off x="36635" y="7213775"/>
          <a:ext cx="8916865" cy="6805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Wel of niet opnemen van een rekenresultaat in het e-MJV</a:t>
          </a:r>
        </a:p>
        <a:p>
          <a:r>
            <a:rPr lang="nl-NL" sz="1100"/>
            <a:t>Rekenresultaten die hoger zijn dan de rapportagedrempelwaarden, moeten verplicht in het e-MJV worden opgenomen. Van andere</a:t>
          </a:r>
          <a:r>
            <a:rPr lang="nl-NL" sz="1100" baseline="0"/>
            <a:t> rekenresultaten is dit niet verplicht, maar wordt dit wel aanbevolen. Reden daarvoor is dat het bevoegd gezag een beter beeld krijgt over emissies vanuit rwzi's. </a:t>
          </a:r>
          <a:endParaRPr lang="nl-NL" sz="1100"/>
        </a:p>
      </xdr:txBody>
    </xdr:sp>
    <xdr:clientData/>
  </xdr:twoCellAnchor>
  <xdr:twoCellAnchor>
    <xdr:from>
      <xdr:col>0</xdr:col>
      <xdr:colOff>18464</xdr:colOff>
      <xdr:row>10</xdr:row>
      <xdr:rowOff>18463</xdr:rowOff>
    </xdr:from>
    <xdr:to>
      <xdr:col>8</xdr:col>
      <xdr:colOff>1276350</xdr:colOff>
      <xdr:row>13</xdr:row>
      <xdr:rowOff>144634</xdr:rowOff>
    </xdr:to>
    <xdr:sp macro="" textlink="">
      <xdr:nvSpPr>
        <xdr:cNvPr id="3" name="Tekstvak 2">
          <a:extLst>
            <a:ext uri="{FF2B5EF4-FFF2-40B4-BE49-F238E27FC236}">
              <a16:creationId xmlns:a16="http://schemas.microsoft.com/office/drawing/2014/main" id="{99109A81-B613-44FD-ACB1-F7A838D75159}"/>
            </a:ext>
          </a:extLst>
        </xdr:cNvPr>
        <xdr:cNvSpPr txBox="1"/>
      </xdr:nvSpPr>
      <xdr:spPr>
        <a:xfrm>
          <a:off x="18464" y="2333038"/>
          <a:ext cx="8915986" cy="640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Rapporteren emissies van </a:t>
          </a:r>
          <a:r>
            <a:rPr lang="nl-NL" sz="1100" b="1">
              <a:solidFill>
                <a:srgbClr val="0000FF"/>
              </a:solidFill>
            </a:rPr>
            <a:t>zware metalen </a:t>
          </a:r>
          <a:r>
            <a:rPr lang="nl-NL" sz="1100" b="1"/>
            <a:t>PRTR-parameters 17 tot en met 24</a:t>
          </a:r>
        </a:p>
        <a:p>
          <a:r>
            <a:rPr lang="nl-NL" sz="1100" b="0"/>
            <a:t>U bent verplicht om gebruik te maken van de eigen zware metalen metingen als u daar over beschikt. Beschikt u niet over eigen effluentmetingen, dan dient u gebruik te maken van de emissiefactoren voor zware metalen zoals in deze tabel weergegeven. </a:t>
          </a:r>
          <a:endParaRPr lang="nl-NL" sz="1100"/>
        </a:p>
      </xdr:txBody>
    </xdr:sp>
    <xdr:clientData/>
  </xdr:twoCellAnchor>
  <xdr:twoCellAnchor>
    <xdr:from>
      <xdr:col>0</xdr:col>
      <xdr:colOff>14655</xdr:colOff>
      <xdr:row>23</xdr:row>
      <xdr:rowOff>161192</xdr:rowOff>
    </xdr:from>
    <xdr:to>
      <xdr:col>8</xdr:col>
      <xdr:colOff>1245578</xdr:colOff>
      <xdr:row>26</xdr:row>
      <xdr:rowOff>146540</xdr:rowOff>
    </xdr:to>
    <xdr:sp macro="" textlink="">
      <xdr:nvSpPr>
        <xdr:cNvPr id="4" name="Tekstvak 3">
          <a:extLst>
            <a:ext uri="{FF2B5EF4-FFF2-40B4-BE49-F238E27FC236}">
              <a16:creationId xmlns:a16="http://schemas.microsoft.com/office/drawing/2014/main" id="{43BBE033-D9C6-4FE6-BE25-C9F91BFED345}"/>
            </a:ext>
          </a:extLst>
        </xdr:cNvPr>
        <xdr:cNvSpPr txBox="1"/>
      </xdr:nvSpPr>
      <xdr:spPr>
        <a:xfrm>
          <a:off x="14655" y="4799134"/>
          <a:ext cx="8682404" cy="468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Rapporteren emissies PRTR-parameters 37 tot en met 83</a:t>
          </a:r>
        </a:p>
        <a:p>
          <a:r>
            <a:rPr lang="nl-NL" sz="1100" b="0"/>
            <a:t>U bent verplicht voor de parameters 37 tot en met 83 gebruik te maken van de, in de onderstaande tabel berekende, rekenresultaten. </a:t>
          </a: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7</xdr:col>
      <xdr:colOff>0</xdr:colOff>
      <xdr:row>14</xdr:row>
      <xdr:rowOff>123825</xdr:rowOff>
    </xdr:from>
    <xdr:ext cx="184731" cy="264560"/>
    <xdr:sp macro="" textlink="">
      <xdr:nvSpPr>
        <xdr:cNvPr id="2" name="Tekstvak 1">
          <a:extLst>
            <a:ext uri="{FF2B5EF4-FFF2-40B4-BE49-F238E27FC236}">
              <a16:creationId xmlns:a16="http://schemas.microsoft.com/office/drawing/2014/main" id="{00000000-0008-0000-0100-000002000000}"/>
            </a:ext>
          </a:extLst>
        </xdr:cNvPr>
        <xdr:cNvSpPr txBox="1"/>
      </xdr:nvSpPr>
      <xdr:spPr>
        <a:xfrm>
          <a:off x="14735175" y="150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nl-NL" sz="1100"/>
        </a:p>
      </xdr:txBody>
    </xdr:sp>
    <xdr:clientData/>
  </xdr:oneCellAnchor>
  <xdr:twoCellAnchor>
    <xdr:from>
      <xdr:col>7</xdr:col>
      <xdr:colOff>520849</xdr:colOff>
      <xdr:row>129</xdr:row>
      <xdr:rowOff>18818</xdr:rowOff>
    </xdr:from>
    <xdr:to>
      <xdr:col>21</xdr:col>
      <xdr:colOff>563880</xdr:colOff>
      <xdr:row>133</xdr:row>
      <xdr:rowOff>7620</xdr:rowOff>
    </xdr:to>
    <xdr:sp macro="" textlink="">
      <xdr:nvSpPr>
        <xdr:cNvPr id="3" name="Tekstvak 2">
          <a:extLst>
            <a:ext uri="{FF2B5EF4-FFF2-40B4-BE49-F238E27FC236}">
              <a16:creationId xmlns:a16="http://schemas.microsoft.com/office/drawing/2014/main" id="{EE2B8018-706B-41EE-A642-39506F4B5596}"/>
            </a:ext>
          </a:extLst>
        </xdr:cNvPr>
        <xdr:cNvSpPr txBox="1"/>
      </xdr:nvSpPr>
      <xdr:spPr>
        <a:xfrm>
          <a:off x="14130169" y="28471898"/>
          <a:ext cx="8836511" cy="62888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nl-NL" sz="1100"/>
            <a:t>Vrijwel alle cellen die rekenresultaten bevatten, zijn voorzien van een voorwaardelijke opmaak. Het gaat om (weliswaar niet alle) cellen in het bereik van D84 tot en met D180.</a:t>
          </a:r>
        </a:p>
        <a:p>
          <a:pPr algn="l"/>
          <a:r>
            <a:rPr lang="nl-NL" sz="1100"/>
            <a:t>Als het resultaat voor </a:t>
          </a:r>
          <a:r>
            <a:rPr lang="nl-NL" sz="1100" u="sng"/>
            <a:t>individuele</a:t>
          </a:r>
          <a:r>
            <a:rPr lang="nl-NL" sz="1100" u="sng" baseline="0"/>
            <a:t> emissiebronnen </a:t>
          </a:r>
          <a:r>
            <a:rPr lang="nl-NL" sz="1100" baseline="0"/>
            <a:t>hoger is </a:t>
          </a:r>
          <a:r>
            <a:rPr lang="nl-NL" sz="1100"/>
            <a:t>dan de rapportagedrempelwaarde dan wordt dat met</a:t>
          </a:r>
          <a:r>
            <a:rPr lang="nl-NL" sz="1100" baseline="0"/>
            <a:t> </a:t>
          </a:r>
          <a:r>
            <a:rPr lang="nl-NL" sz="1100" baseline="0">
              <a:solidFill>
                <a:srgbClr val="FF0000"/>
              </a:solidFill>
            </a:rPr>
            <a:t>rode tekst </a:t>
          </a:r>
          <a:r>
            <a:rPr lang="nl-NL" sz="1100" baseline="0"/>
            <a:t>geduid. </a:t>
          </a:r>
          <a:endParaRPr lang="nl-NL" sz="1100"/>
        </a:p>
      </xdr:txBody>
    </xdr:sp>
    <xdr:clientData/>
  </xdr:twoCellAnchor>
  <xdr:twoCellAnchor>
    <xdr:from>
      <xdr:col>7</xdr:col>
      <xdr:colOff>71717</xdr:colOff>
      <xdr:row>82</xdr:row>
      <xdr:rowOff>158032</xdr:rowOff>
    </xdr:from>
    <xdr:to>
      <xdr:col>7</xdr:col>
      <xdr:colOff>437030</xdr:colOff>
      <xdr:row>183</xdr:row>
      <xdr:rowOff>0</xdr:rowOff>
    </xdr:to>
    <xdr:sp macro="" textlink="">
      <xdr:nvSpPr>
        <xdr:cNvPr id="4" name="Rechteraccolade 3">
          <a:extLst>
            <a:ext uri="{FF2B5EF4-FFF2-40B4-BE49-F238E27FC236}">
              <a16:creationId xmlns:a16="http://schemas.microsoft.com/office/drawing/2014/main" id="{BEBA58F0-56D2-4858-9070-3619B1E2AFD1}"/>
            </a:ext>
          </a:extLst>
        </xdr:cNvPr>
        <xdr:cNvSpPr/>
      </xdr:nvSpPr>
      <xdr:spPr>
        <a:xfrm>
          <a:off x="13680141" y="18517750"/>
          <a:ext cx="365313" cy="17224532"/>
        </a:xfrm>
        <a:prstGeom prst="rightBrace">
          <a:avLst>
            <a:gd name="adj1" fmla="val 54487"/>
            <a:gd name="adj2" fmla="val 50000"/>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nl-NL"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28</xdr:row>
      <xdr:rowOff>9525</xdr:rowOff>
    </xdr:from>
    <xdr:to>
      <xdr:col>4</xdr:col>
      <xdr:colOff>638175</xdr:colOff>
      <xdr:row>32</xdr:row>
      <xdr:rowOff>9525</xdr:rowOff>
    </xdr:to>
    <xdr:sp macro="" textlink="">
      <xdr:nvSpPr>
        <xdr:cNvPr id="2" name="Rechthoek 1">
          <a:extLst>
            <a:ext uri="{FF2B5EF4-FFF2-40B4-BE49-F238E27FC236}">
              <a16:creationId xmlns:a16="http://schemas.microsoft.com/office/drawing/2014/main" id="{00000000-0008-0000-0200-000002000000}"/>
            </a:ext>
          </a:extLst>
        </xdr:cNvPr>
        <xdr:cNvSpPr/>
      </xdr:nvSpPr>
      <xdr:spPr>
        <a:xfrm>
          <a:off x="2733675" y="3905250"/>
          <a:ext cx="1619250" cy="676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nl-NL" sz="1100"/>
            <a:t>Waterlijn</a:t>
          </a:r>
        </a:p>
      </xdr:txBody>
    </xdr:sp>
    <xdr:clientData/>
  </xdr:twoCellAnchor>
  <xdr:twoCellAnchor>
    <xdr:from>
      <xdr:col>8</xdr:col>
      <xdr:colOff>0</xdr:colOff>
      <xdr:row>28</xdr:row>
      <xdr:rowOff>9525</xdr:rowOff>
    </xdr:from>
    <xdr:to>
      <xdr:col>10</xdr:col>
      <xdr:colOff>590550</xdr:colOff>
      <xdr:row>32</xdr:row>
      <xdr:rowOff>9525</xdr:rowOff>
    </xdr:to>
    <xdr:sp macro="" textlink="">
      <xdr:nvSpPr>
        <xdr:cNvPr id="3" name="Rechthoek 2">
          <a:extLst>
            <a:ext uri="{FF2B5EF4-FFF2-40B4-BE49-F238E27FC236}">
              <a16:creationId xmlns:a16="http://schemas.microsoft.com/office/drawing/2014/main" id="{00000000-0008-0000-0200-000003000000}"/>
            </a:ext>
          </a:extLst>
        </xdr:cNvPr>
        <xdr:cNvSpPr/>
      </xdr:nvSpPr>
      <xdr:spPr>
        <a:xfrm>
          <a:off x="6515100" y="3905250"/>
          <a:ext cx="2266950" cy="676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nl-NL" sz="1100"/>
            <a:t>Sliblijn (bijvoorbeeld: voorindikker, slibgisting, na-indikker, slibbuffer, slibontwatering)</a:t>
          </a:r>
        </a:p>
      </xdr:txBody>
    </xdr:sp>
    <xdr:clientData/>
  </xdr:twoCellAnchor>
  <xdr:twoCellAnchor>
    <xdr:from>
      <xdr:col>8</xdr:col>
      <xdr:colOff>0</xdr:colOff>
      <xdr:row>19</xdr:row>
      <xdr:rowOff>1</xdr:rowOff>
    </xdr:from>
    <xdr:to>
      <xdr:col>10</xdr:col>
      <xdr:colOff>590550</xdr:colOff>
      <xdr:row>22</xdr:row>
      <xdr:rowOff>38101</xdr:rowOff>
    </xdr:to>
    <xdr:sp macro="" textlink="">
      <xdr:nvSpPr>
        <xdr:cNvPr id="4" name="Rechthoek 3">
          <a:extLst>
            <a:ext uri="{FF2B5EF4-FFF2-40B4-BE49-F238E27FC236}">
              <a16:creationId xmlns:a16="http://schemas.microsoft.com/office/drawing/2014/main" id="{00000000-0008-0000-0200-000004000000}"/>
            </a:ext>
          </a:extLst>
        </xdr:cNvPr>
        <xdr:cNvSpPr/>
      </xdr:nvSpPr>
      <xdr:spPr>
        <a:xfrm>
          <a:off x="6515100" y="2257426"/>
          <a:ext cx="2266950" cy="6858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nl-NL" sz="1100"/>
            <a:t>Biogaslijn (biogasopslag,</a:t>
          </a:r>
          <a:r>
            <a:rPr lang="nl-NL" sz="1100" baseline="0"/>
            <a:t> gasverbrandingstoestellen, fakkel, spui, groen gas opwerking, biogas doorleveren)</a:t>
          </a:r>
          <a:endParaRPr lang="nl-NL" sz="1100"/>
        </a:p>
      </xdr:txBody>
    </xdr:sp>
    <xdr:clientData/>
  </xdr:twoCellAnchor>
  <xdr:twoCellAnchor>
    <xdr:from>
      <xdr:col>2</xdr:col>
      <xdr:colOff>209550</xdr:colOff>
      <xdr:row>29</xdr:row>
      <xdr:rowOff>57150</xdr:rowOff>
    </xdr:from>
    <xdr:to>
      <xdr:col>2</xdr:col>
      <xdr:colOff>695325</xdr:colOff>
      <xdr:row>30</xdr:row>
      <xdr:rowOff>28575</xdr:rowOff>
    </xdr:to>
    <xdr:sp macro="" textlink="">
      <xdr:nvSpPr>
        <xdr:cNvPr id="5" name="PIJL-RECHTS 4">
          <a:extLst>
            <a:ext uri="{FF2B5EF4-FFF2-40B4-BE49-F238E27FC236}">
              <a16:creationId xmlns:a16="http://schemas.microsoft.com/office/drawing/2014/main" id="{00000000-0008-0000-0200-000005000000}"/>
            </a:ext>
          </a:extLst>
        </xdr:cNvPr>
        <xdr:cNvSpPr/>
      </xdr:nvSpPr>
      <xdr:spPr>
        <a:xfrm>
          <a:off x="2238375" y="4133850"/>
          <a:ext cx="485775" cy="133350"/>
        </a:xfrm>
        <a:prstGeom prst="rightArrow">
          <a:avLst/>
        </a:prstGeom>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xdr:col>
      <xdr:colOff>2</xdr:colOff>
      <xdr:row>29</xdr:row>
      <xdr:rowOff>95250</xdr:rowOff>
    </xdr:from>
    <xdr:to>
      <xdr:col>8</xdr:col>
      <xdr:colOff>1</xdr:colOff>
      <xdr:row>30</xdr:row>
      <xdr:rowOff>76199</xdr:rowOff>
    </xdr:to>
    <xdr:sp macro="" textlink="">
      <xdr:nvSpPr>
        <xdr:cNvPr id="6" name="PIJL-RECHTS 5">
          <a:extLst>
            <a:ext uri="{FF2B5EF4-FFF2-40B4-BE49-F238E27FC236}">
              <a16:creationId xmlns:a16="http://schemas.microsoft.com/office/drawing/2014/main" id="{00000000-0008-0000-0200-000006000000}"/>
            </a:ext>
          </a:extLst>
        </xdr:cNvPr>
        <xdr:cNvSpPr/>
      </xdr:nvSpPr>
      <xdr:spPr>
        <a:xfrm>
          <a:off x="4371977" y="4171950"/>
          <a:ext cx="2143124" cy="142874"/>
        </a:xfrm>
        <a:prstGeom prst="rightArrow">
          <a:avLst/>
        </a:prstGeom>
        <a:solidFill>
          <a:schemeClr val="accent6">
            <a:lumMod val="5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xdr:col>
      <xdr:colOff>123828</xdr:colOff>
      <xdr:row>22</xdr:row>
      <xdr:rowOff>38099</xdr:rowOff>
    </xdr:from>
    <xdr:to>
      <xdr:col>9</xdr:col>
      <xdr:colOff>276225</xdr:colOff>
      <xdr:row>28</xdr:row>
      <xdr:rowOff>4759</xdr:rowOff>
    </xdr:to>
    <xdr:sp macro="" textlink="">
      <xdr:nvSpPr>
        <xdr:cNvPr id="7" name="PIJL-RECHTS 6">
          <a:extLst>
            <a:ext uri="{FF2B5EF4-FFF2-40B4-BE49-F238E27FC236}">
              <a16:creationId xmlns:a16="http://schemas.microsoft.com/office/drawing/2014/main" id="{00000000-0008-0000-0200-000007000000}"/>
            </a:ext>
          </a:extLst>
        </xdr:cNvPr>
        <xdr:cNvSpPr/>
      </xdr:nvSpPr>
      <xdr:spPr>
        <a:xfrm rot="16200000">
          <a:off x="7055647" y="3345655"/>
          <a:ext cx="957260" cy="152397"/>
        </a:xfrm>
        <a:prstGeom prst="rightArrow">
          <a:avLst/>
        </a:prstGeom>
        <a:solidFill>
          <a:srgbClr val="FF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10</xdr:col>
      <xdr:colOff>590550</xdr:colOff>
      <xdr:row>29</xdr:row>
      <xdr:rowOff>38100</xdr:rowOff>
    </xdr:from>
    <xdr:to>
      <xdr:col>11</xdr:col>
      <xdr:colOff>552450</xdr:colOff>
      <xdr:row>30</xdr:row>
      <xdr:rowOff>38100</xdr:rowOff>
    </xdr:to>
    <xdr:sp macro="" textlink="">
      <xdr:nvSpPr>
        <xdr:cNvPr id="8" name="PIJL-RECHTS 7">
          <a:extLst>
            <a:ext uri="{FF2B5EF4-FFF2-40B4-BE49-F238E27FC236}">
              <a16:creationId xmlns:a16="http://schemas.microsoft.com/office/drawing/2014/main" id="{00000000-0008-0000-0200-000008000000}"/>
            </a:ext>
          </a:extLst>
        </xdr:cNvPr>
        <xdr:cNvSpPr/>
      </xdr:nvSpPr>
      <xdr:spPr>
        <a:xfrm>
          <a:off x="8782050" y="4114800"/>
          <a:ext cx="971550" cy="161925"/>
        </a:xfrm>
        <a:prstGeom prst="rightArrow">
          <a:avLst/>
        </a:prstGeom>
        <a:solidFill>
          <a:srgbClr val="FF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nl-NL" sz="1100">
            <a:solidFill>
              <a:schemeClr val="lt1"/>
            </a:solidFill>
            <a:latin typeface="+mn-lt"/>
            <a:ea typeface="+mn-ea"/>
            <a:cs typeface="+mn-cs"/>
          </a:endParaRPr>
        </a:p>
      </xdr:txBody>
    </xdr:sp>
    <xdr:clientData/>
  </xdr:twoCellAnchor>
  <xdr:twoCellAnchor>
    <xdr:from>
      <xdr:col>3</xdr:col>
      <xdr:colOff>800099</xdr:colOff>
      <xdr:row>32</xdr:row>
      <xdr:rowOff>14290</xdr:rowOff>
    </xdr:from>
    <xdr:to>
      <xdr:col>3</xdr:col>
      <xdr:colOff>933450</xdr:colOff>
      <xdr:row>34</xdr:row>
      <xdr:rowOff>95251</xdr:rowOff>
    </xdr:to>
    <xdr:sp macro="" textlink="">
      <xdr:nvSpPr>
        <xdr:cNvPr id="9" name="PIJL-RECHTS 8">
          <a:extLst>
            <a:ext uri="{FF2B5EF4-FFF2-40B4-BE49-F238E27FC236}">
              <a16:creationId xmlns:a16="http://schemas.microsoft.com/office/drawing/2014/main" id="{00000000-0008-0000-0200-000009000000}"/>
            </a:ext>
          </a:extLst>
        </xdr:cNvPr>
        <xdr:cNvSpPr/>
      </xdr:nvSpPr>
      <xdr:spPr>
        <a:xfrm rot="5400000">
          <a:off x="3393282" y="4726782"/>
          <a:ext cx="414336" cy="133351"/>
        </a:xfrm>
        <a:prstGeom prst="rightArrow">
          <a:avLst/>
        </a:prstGeom>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xdr:col>
      <xdr:colOff>95254</xdr:colOff>
      <xdr:row>32</xdr:row>
      <xdr:rowOff>19050</xdr:rowOff>
    </xdr:from>
    <xdr:to>
      <xdr:col>8</xdr:col>
      <xdr:colOff>228604</xdr:colOff>
      <xdr:row>35</xdr:row>
      <xdr:rowOff>19050</xdr:rowOff>
    </xdr:to>
    <xdr:sp macro="" textlink="">
      <xdr:nvSpPr>
        <xdr:cNvPr id="10" name="PIJL-RECHTS 9">
          <a:extLst>
            <a:ext uri="{FF2B5EF4-FFF2-40B4-BE49-F238E27FC236}">
              <a16:creationId xmlns:a16="http://schemas.microsoft.com/office/drawing/2014/main" id="{00000000-0008-0000-0200-00000A000000}"/>
            </a:ext>
          </a:extLst>
        </xdr:cNvPr>
        <xdr:cNvSpPr/>
      </xdr:nvSpPr>
      <xdr:spPr>
        <a:xfrm rot="16200000">
          <a:off x="6429379" y="4772025"/>
          <a:ext cx="495300" cy="133350"/>
        </a:xfrm>
        <a:prstGeom prst="rightArrow">
          <a:avLst/>
        </a:prstGeom>
        <a:solidFill>
          <a:schemeClr val="accent6">
            <a:lumMod val="5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10</xdr:col>
      <xdr:colOff>366715</xdr:colOff>
      <xdr:row>32</xdr:row>
      <xdr:rowOff>33338</xdr:rowOff>
    </xdr:from>
    <xdr:to>
      <xdr:col>10</xdr:col>
      <xdr:colOff>500065</xdr:colOff>
      <xdr:row>35</xdr:row>
      <xdr:rowOff>33338</xdr:rowOff>
    </xdr:to>
    <xdr:sp macro="" textlink="">
      <xdr:nvSpPr>
        <xdr:cNvPr id="11" name="PIJL-RECHTS 10">
          <a:extLst>
            <a:ext uri="{FF2B5EF4-FFF2-40B4-BE49-F238E27FC236}">
              <a16:creationId xmlns:a16="http://schemas.microsoft.com/office/drawing/2014/main" id="{00000000-0008-0000-0200-00000B000000}"/>
            </a:ext>
          </a:extLst>
        </xdr:cNvPr>
        <xdr:cNvSpPr/>
      </xdr:nvSpPr>
      <xdr:spPr>
        <a:xfrm rot="5400000">
          <a:off x="8377240" y="4786313"/>
          <a:ext cx="495300" cy="133350"/>
        </a:xfrm>
        <a:prstGeom prst="rightArrow">
          <a:avLst/>
        </a:prstGeom>
        <a:solidFill>
          <a:schemeClr val="accent6">
            <a:lumMod val="5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752481</xdr:colOff>
      <xdr:row>23</xdr:row>
      <xdr:rowOff>9525</xdr:rowOff>
    </xdr:from>
    <xdr:to>
      <xdr:col>3</xdr:col>
      <xdr:colOff>885828</xdr:colOff>
      <xdr:row>27</xdr:row>
      <xdr:rowOff>157166</xdr:rowOff>
    </xdr:to>
    <xdr:sp macro="" textlink="">
      <xdr:nvSpPr>
        <xdr:cNvPr id="12" name="PIJL-RECHTS 11">
          <a:extLst>
            <a:ext uri="{FF2B5EF4-FFF2-40B4-BE49-F238E27FC236}">
              <a16:creationId xmlns:a16="http://schemas.microsoft.com/office/drawing/2014/main" id="{00000000-0008-0000-0200-00000C000000}"/>
            </a:ext>
          </a:extLst>
        </xdr:cNvPr>
        <xdr:cNvSpPr/>
      </xdr:nvSpPr>
      <xdr:spPr>
        <a:xfrm rot="16200000">
          <a:off x="3145634" y="3417097"/>
          <a:ext cx="814391" cy="133347"/>
        </a:xfrm>
        <a:prstGeom prst="rightArrow">
          <a:avLst/>
        </a:prstGeom>
        <a:solidFill>
          <a:srgbClr val="FF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nl-NL" sz="1100">
            <a:solidFill>
              <a:schemeClr val="lt1"/>
            </a:solidFill>
            <a:latin typeface="+mn-lt"/>
            <a:ea typeface="+mn-ea"/>
            <a:cs typeface="+mn-cs"/>
          </a:endParaRPr>
        </a:p>
      </xdr:txBody>
    </xdr:sp>
    <xdr:clientData/>
  </xdr:twoCellAnchor>
  <xdr:twoCellAnchor>
    <xdr:from>
      <xdr:col>9</xdr:col>
      <xdr:colOff>142874</xdr:colOff>
      <xdr:row>17</xdr:row>
      <xdr:rowOff>57149</xdr:rowOff>
    </xdr:from>
    <xdr:to>
      <xdr:col>9</xdr:col>
      <xdr:colOff>295275</xdr:colOff>
      <xdr:row>19</xdr:row>
      <xdr:rowOff>14285</xdr:rowOff>
    </xdr:to>
    <xdr:sp macro="" textlink="">
      <xdr:nvSpPr>
        <xdr:cNvPr id="13" name="PIJL-RECHTS 12">
          <a:extLst>
            <a:ext uri="{FF2B5EF4-FFF2-40B4-BE49-F238E27FC236}">
              <a16:creationId xmlns:a16="http://schemas.microsoft.com/office/drawing/2014/main" id="{00000000-0008-0000-0200-00000D000000}"/>
            </a:ext>
          </a:extLst>
        </xdr:cNvPr>
        <xdr:cNvSpPr/>
      </xdr:nvSpPr>
      <xdr:spPr>
        <a:xfrm rot="16200000">
          <a:off x="7412832" y="2055016"/>
          <a:ext cx="280986" cy="152401"/>
        </a:xfrm>
        <a:prstGeom prst="rightArrow">
          <a:avLst/>
        </a:prstGeom>
        <a:solidFill>
          <a:srgbClr val="FF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76198</xdr:colOff>
      <xdr:row>52</xdr:row>
      <xdr:rowOff>9525</xdr:rowOff>
    </xdr:from>
    <xdr:to>
      <xdr:col>22</xdr:col>
      <xdr:colOff>257175</xdr:colOff>
      <xdr:row>79</xdr:row>
      <xdr:rowOff>47625</xdr:rowOff>
    </xdr:to>
    <xdr:graphicFrame macro="">
      <xdr:nvGraphicFramePr>
        <xdr:cNvPr id="2" name="Grafiek 1">
          <a:extLst>
            <a:ext uri="{FF2B5EF4-FFF2-40B4-BE49-F238E27FC236}">
              <a16:creationId xmlns:a16="http://schemas.microsoft.com/office/drawing/2014/main" id="{BE192014-0523-4D9A-B786-DFBE4783F0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38100</xdr:colOff>
      <xdr:row>77</xdr:row>
      <xdr:rowOff>180976</xdr:rowOff>
    </xdr:from>
    <xdr:to>
      <xdr:col>23</xdr:col>
      <xdr:colOff>219075</xdr:colOff>
      <xdr:row>81</xdr:row>
      <xdr:rowOff>47626</xdr:rowOff>
    </xdr:to>
    <xdr:sp macro="" textlink="">
      <xdr:nvSpPr>
        <xdr:cNvPr id="3" name="Tekstvak 2">
          <a:extLst>
            <a:ext uri="{FF2B5EF4-FFF2-40B4-BE49-F238E27FC236}">
              <a16:creationId xmlns:a16="http://schemas.microsoft.com/office/drawing/2014/main" id="{33A2BDA8-8A1D-4D3D-AD86-1A5E2CA52E73}"/>
            </a:ext>
          </a:extLst>
        </xdr:cNvPr>
        <xdr:cNvSpPr txBox="1"/>
      </xdr:nvSpPr>
      <xdr:spPr>
        <a:xfrm>
          <a:off x="10353675" y="16240126"/>
          <a:ext cx="7496175"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Uitleg grafiek:</a:t>
          </a:r>
        </a:p>
        <a:p>
          <a:r>
            <a:rPr lang="nl-NL" sz="1100"/>
            <a:t>1 m3 biogas met een temperatuur van 30</a:t>
          </a:r>
          <a:r>
            <a:rPr lang="nl-NL" sz="1100" baseline="30000"/>
            <a:t>o</a:t>
          </a:r>
          <a:r>
            <a:rPr lang="nl-NL" sz="1100"/>
            <a:t>C komt overeen met 1/1,10983 = ca 0,901 m3 biogas van 0</a:t>
          </a:r>
          <a:r>
            <a:rPr lang="nl-NL" sz="1100" baseline="30000"/>
            <a:t>o</a:t>
          </a:r>
          <a:r>
            <a:rPr lang="nl-NL" sz="1100"/>
            <a:t>C.</a:t>
          </a:r>
        </a:p>
        <a:p>
          <a:r>
            <a:rPr lang="nl-NL" sz="1100"/>
            <a:t>1 m3 biogas bij een druk van 100 cmWK komt overeen met 1 * 1,09850 = 1098,5 Nl</a:t>
          </a:r>
          <a:r>
            <a:rPr lang="nl-NL" sz="1100" baseline="0"/>
            <a:t> dus 1, 0985 Nm3.</a:t>
          </a:r>
          <a:endParaRPr lang="nl-NL"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10645</xdr:colOff>
      <xdr:row>15</xdr:row>
      <xdr:rowOff>188148</xdr:rowOff>
    </xdr:from>
    <xdr:to>
      <xdr:col>19</xdr:col>
      <xdr:colOff>477370</xdr:colOff>
      <xdr:row>35</xdr:row>
      <xdr:rowOff>163158</xdr:rowOff>
    </xdr:to>
    <xdr:graphicFrame macro="">
      <xdr:nvGraphicFramePr>
        <xdr:cNvPr id="2" name="Grafiek 1">
          <a:extLst>
            <a:ext uri="{FF2B5EF4-FFF2-40B4-BE49-F238E27FC236}">
              <a16:creationId xmlns:a16="http://schemas.microsoft.com/office/drawing/2014/main" id="{209E8112-CED4-4D67-AF50-9FF15CFA94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5</xdr:row>
      <xdr:rowOff>0</xdr:rowOff>
    </xdr:from>
    <xdr:to>
      <xdr:col>15</xdr:col>
      <xdr:colOff>205740</xdr:colOff>
      <xdr:row>46</xdr:row>
      <xdr:rowOff>129540</xdr:rowOff>
    </xdr:to>
    <xdr:pic>
      <xdr:nvPicPr>
        <xdr:cNvPr id="2" name="Afbeelding 1">
          <a:extLst>
            <a:ext uri="{FF2B5EF4-FFF2-40B4-BE49-F238E27FC236}">
              <a16:creationId xmlns:a16="http://schemas.microsoft.com/office/drawing/2014/main" id="{9A3014B9-3F7B-3188-0081-9E4EACDC6C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4840" y="960120"/>
          <a:ext cx="8953500" cy="762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9</xdr:row>
      <xdr:rowOff>0</xdr:rowOff>
    </xdr:from>
    <xdr:to>
      <xdr:col>24</xdr:col>
      <xdr:colOff>38100</xdr:colOff>
      <xdr:row>70</xdr:row>
      <xdr:rowOff>7620</xdr:rowOff>
    </xdr:to>
    <xdr:pic>
      <xdr:nvPicPr>
        <xdr:cNvPr id="6" name="Afbeelding 5">
          <a:extLst>
            <a:ext uri="{FF2B5EF4-FFF2-40B4-BE49-F238E27FC236}">
              <a16:creationId xmlns:a16="http://schemas.microsoft.com/office/drawing/2014/main" id="{8380D65F-6303-2E4E-9CBB-F42C8393CF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47120" y="1691640"/>
          <a:ext cx="3787140" cy="11163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12</xdr:row>
      <xdr:rowOff>9525</xdr:rowOff>
    </xdr:from>
    <xdr:to>
      <xdr:col>7</xdr:col>
      <xdr:colOff>9525</xdr:colOff>
      <xdr:row>19</xdr:row>
      <xdr:rowOff>161925</xdr:rowOff>
    </xdr:to>
    <xdr:sp macro="" textlink="">
      <xdr:nvSpPr>
        <xdr:cNvPr id="2" name="Tekstvak 1">
          <a:extLst>
            <a:ext uri="{FF2B5EF4-FFF2-40B4-BE49-F238E27FC236}">
              <a16:creationId xmlns:a16="http://schemas.microsoft.com/office/drawing/2014/main" id="{06F38D0E-1660-40D5-8876-79C2B065B5A0}"/>
            </a:ext>
          </a:extLst>
        </xdr:cNvPr>
        <xdr:cNvSpPr txBox="1"/>
      </xdr:nvSpPr>
      <xdr:spPr>
        <a:xfrm>
          <a:off x="381000" y="10696575"/>
          <a:ext cx="10210800" cy="148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Omzetten van de ene naar de andere</a:t>
          </a:r>
          <a:r>
            <a:rPr lang="nl-NL" sz="1100" b="1" baseline="0"/>
            <a:t> IE</a:t>
          </a:r>
          <a:endParaRPr lang="nl-NL" sz="1100" b="1"/>
        </a:p>
        <a:p>
          <a:r>
            <a:rPr lang="nl-NL" sz="1100"/>
            <a:t>Het omrekenen van het ene ve-begrip naar een ander ve-begrip is in principe mogelijk. De verhouding tussen de begrippen is niet op voorhand gelijk aan 1. </a:t>
          </a:r>
        </a:p>
        <a:p>
          <a:r>
            <a:rPr lang="nl-NL" sz="1100"/>
            <a:t>Anno 2020 worden door waterschappen voornamelijk de IE150 toegepast. </a:t>
          </a:r>
        </a:p>
        <a:p>
          <a:r>
            <a:rPr lang="nl-NL" sz="1100"/>
            <a:t>Het omzetten van het ene IE-begrip naar het andere is in principe alleen mogelijk als alle betrokken parameters bekend zijn. </a:t>
          </a:r>
        </a:p>
        <a:p>
          <a:r>
            <a:rPr lang="nl-NL" sz="1100"/>
            <a:t>In wet/regelgeving wordt</a:t>
          </a:r>
          <a:r>
            <a:rPr lang="nl-NL" sz="1100" baseline="0"/>
            <a:t> het begrip inwonerequivalent vaak gebruikt. Het begrip inwonerequivalent is daarbij meestal gebaseerd op het begrip/definitie gehanteerd in de Europese richtlijn 91/271/EEG. Het betreft een richtlijn die thans herzien wordt. In art 2 lid 6 wordt voor een IE 60 g BZV5 gehanteerd. De parameters N, CZV of andere worden in de EU-richtlijn niet toegepast. Voor zover het de toepassing van wet- en regelgeving betreft, dient de omzetting van de ene naar de andere IE alleen  te gescheiden via de BZV-route. </a:t>
          </a:r>
          <a:endParaRPr lang="nl-NL" sz="1100"/>
        </a:p>
      </xdr:txBody>
    </xdr:sp>
    <xdr:clientData/>
  </xdr:twoCellAnchor>
  <xdr:twoCellAnchor>
    <xdr:from>
      <xdr:col>1</xdr:col>
      <xdr:colOff>0</xdr:colOff>
      <xdr:row>20</xdr:row>
      <xdr:rowOff>152398</xdr:rowOff>
    </xdr:from>
    <xdr:to>
      <xdr:col>7</xdr:col>
      <xdr:colOff>9525</xdr:colOff>
      <xdr:row>42</xdr:row>
      <xdr:rowOff>15240</xdr:rowOff>
    </xdr:to>
    <xdr:sp macro="" textlink="">
      <xdr:nvSpPr>
        <xdr:cNvPr id="3" name="Tekstvak 2">
          <a:extLst>
            <a:ext uri="{FF2B5EF4-FFF2-40B4-BE49-F238E27FC236}">
              <a16:creationId xmlns:a16="http://schemas.microsoft.com/office/drawing/2014/main" id="{B31741CE-3A0A-4ABA-963B-6F33EC062781}"/>
            </a:ext>
          </a:extLst>
        </xdr:cNvPr>
        <xdr:cNvSpPr txBox="1"/>
      </xdr:nvSpPr>
      <xdr:spPr>
        <a:xfrm>
          <a:off x="388620" y="11048998"/>
          <a:ext cx="10494645" cy="38862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Hoe de conversie tabel te gebruiken ?</a:t>
          </a:r>
        </a:p>
        <a:p>
          <a:endParaRPr lang="nl-NL" sz="1100" b="1"/>
        </a:p>
        <a:p>
          <a:r>
            <a:rPr lang="nl-NL" sz="1100" b="1"/>
            <a:t>Voorbeeld 1</a:t>
          </a:r>
        </a:p>
        <a:p>
          <a:r>
            <a:rPr lang="nl-NL" sz="1100" i="1"/>
            <a:t>Vraag</a:t>
          </a:r>
        </a:p>
        <a:p>
          <a:r>
            <a:rPr lang="nl-NL" sz="1100"/>
            <a:t>Stel dat we een rwzi hebben met een capaciteit van 100.000 IE54. Welke capaciteit heeft de rwzi dan als we de Europese richtlijn toepassen ?</a:t>
          </a:r>
        </a:p>
        <a:p>
          <a:r>
            <a:rPr lang="nl-NL" sz="1100" i="1" baseline="0"/>
            <a:t>Antwoord</a:t>
          </a:r>
        </a:p>
        <a:p>
          <a:r>
            <a:rPr lang="nl-NL" sz="1100" baseline="0"/>
            <a:t>In dit geval willen we converteren van IE54 naar IE60. Een capaciteit van 100.000 IE54 komt overeen met 100.000 * 54 = 5.400 kg BZV5 per dag. De Europese IE is 60 g BZV. De capaciteit komt dan overeen met 100.000 * 54/60 = 90.000 IE60. De conversie factor is dus 54/60 en staat in cel H9. </a:t>
          </a:r>
        </a:p>
        <a:p>
          <a:r>
            <a:rPr lang="nl-NL" sz="1100" baseline="0"/>
            <a:t>Een conversie begint dus altijd met het begrip van waaruit je wilt converteren, gegeven in rij 2 en 3. Met in rij 3 de zogenaamde starteenheid. In het voorbeeld is dat IE54. In rij 2 is dat </a:t>
          </a:r>
          <a:r>
            <a:rPr lang="nl-NL" sz="1100" baseline="0">
              <a:solidFill>
                <a:srgbClr val="FF0000"/>
              </a:solidFill>
            </a:rPr>
            <a:t>A</a:t>
          </a:r>
          <a:r>
            <a:rPr lang="nl-NL" sz="1100" baseline="0"/>
            <a:t>. Vervolgens ga je in kolom B naar het IE-begrip (cijfers </a:t>
          </a:r>
          <a:r>
            <a:rPr lang="nl-NL" sz="1100" b="1" baseline="0">
              <a:solidFill>
                <a:srgbClr val="FF0000"/>
              </a:solidFill>
            </a:rPr>
            <a:t>1</a:t>
          </a:r>
          <a:r>
            <a:rPr lang="nl-NL" sz="1100" baseline="0"/>
            <a:t> tot en met </a:t>
          </a:r>
          <a:r>
            <a:rPr lang="nl-NL" sz="1100" b="1" baseline="0">
              <a:solidFill>
                <a:srgbClr val="FF0000"/>
              </a:solidFill>
            </a:rPr>
            <a:t>8</a:t>
          </a:r>
          <a:r>
            <a:rPr lang="nl-NL" sz="1100" baseline="0"/>
            <a:t>) waar naartoe je wil converteren.  Waar de kolomen (onder A tot en met H) de rijen (van </a:t>
          </a:r>
          <a:r>
            <a:rPr lang="nl-NL" sz="1100" b="1" baseline="0">
              <a:solidFill>
                <a:srgbClr val="FF0000"/>
              </a:solidFill>
            </a:rPr>
            <a:t>1</a:t>
          </a:r>
          <a:r>
            <a:rPr lang="nl-NL" sz="1100" baseline="0"/>
            <a:t> tot en met </a:t>
          </a:r>
          <a:r>
            <a:rPr lang="nl-NL" sz="1100" b="1" baseline="0">
              <a:solidFill>
                <a:srgbClr val="FF0000"/>
              </a:solidFill>
            </a:rPr>
            <a:t>8</a:t>
          </a:r>
          <a:r>
            <a:rPr lang="nl-NL" sz="1100" baseline="0"/>
            <a:t>) kruisen, staat de conversiefactor. Voor het hierbovengegeven voorbeeld is dat 54/60. </a:t>
          </a:r>
        </a:p>
        <a:p>
          <a:endParaRPr lang="nl-NL" sz="1100" baseline="0"/>
        </a:p>
        <a:p>
          <a:r>
            <a:rPr lang="nl-NL" sz="1100" b="1"/>
            <a:t>Voorbeeld 2</a:t>
          </a:r>
        </a:p>
        <a:p>
          <a:r>
            <a:rPr lang="nl-NL" sz="1100" i="1"/>
            <a:t>Vraag</a:t>
          </a:r>
        </a:p>
        <a:p>
          <a:r>
            <a:rPr lang="nl-NL" sz="1100"/>
            <a:t>In de PRTR (activiteit nr 5 van bijlage 1 van verordening EG 166/2005) staat dat een rwzi met een capaciteit van 100.000 IE de verplichting heeft om haar emissies te rapporteren. Echter wij hanteren als waterschap de IE150-definitie. Onze rwzi heeft een capaciteit van 110.000 IE150 (</a:t>
          </a:r>
          <a:r>
            <a:rPr lang="nl-NL" sz="1100">
              <a:solidFill>
                <a:srgbClr val="FF0000"/>
              </a:solidFill>
            </a:rPr>
            <a:t>H</a:t>
          </a:r>
          <a:r>
            <a:rPr lang="nl-NL" sz="1100"/>
            <a:t>). Zijn we dan PRTR-plichtig en moeten we dan rapporteren?</a:t>
          </a:r>
        </a:p>
        <a:p>
          <a:r>
            <a:rPr lang="nl-NL" sz="1100" i="1"/>
            <a:t>Antwoord</a:t>
          </a:r>
        </a:p>
        <a:p>
          <a:r>
            <a:rPr lang="nl-NL" sz="1100" i="0"/>
            <a:t>Voor de definitie van inwonerequivalent in de PRTR-verordening is de richtlijn stedelijk afvalwater 91/271/EEG van toepassing. In deze richtlijn is een definitie van een IE gegeven waaronder wordt verstaan 60 g BZV5 (</a:t>
          </a:r>
          <a:r>
            <a:rPr lang="nl-NL" sz="1100" i="0">
              <a:solidFill>
                <a:srgbClr val="FF0000"/>
              </a:solidFill>
            </a:rPr>
            <a:t>6</a:t>
          </a:r>
          <a:r>
            <a:rPr lang="nl-NL" sz="1100" i="0"/>
            <a:t>). De betrokken rwzi heeft een capaciteit van 110.000 IE150 (</a:t>
          </a:r>
          <a:r>
            <a:rPr lang="nl-NL" sz="1100" i="0">
              <a:solidFill>
                <a:srgbClr val="FF0000"/>
              </a:solidFill>
            </a:rPr>
            <a:t>H</a:t>
          </a:r>
          <a:r>
            <a:rPr lang="nl-NL" sz="1100" i="0"/>
            <a:t>). Dit komt overeen met 110.000 * 48,5 g BZV = 5.335 kg BZV/d. Zie voor uitleg over 48,5 g BZV cel F11. Een hoeveelheid van 5.335 kg BZV/d komt overeen met 5.335/0,060 = 88.920 IE60. Dit is minder dan de drempel van 100.000</a:t>
          </a:r>
          <a:r>
            <a:rPr lang="nl-NL" sz="1100" i="0" baseline="0"/>
            <a:t> IE60. De betrokken rwzi is niet PRTR-plichtig.  </a:t>
          </a:r>
          <a:endParaRPr lang="nl-NL" sz="1100" i="0"/>
        </a:p>
        <a:p>
          <a:r>
            <a:rPr lang="nl-NL" sz="1100"/>
            <a:t>Feitelijk wordt er geconverteerd van </a:t>
          </a:r>
          <a:r>
            <a:rPr lang="nl-NL" sz="1100" b="1">
              <a:solidFill>
                <a:srgbClr val="FF0000"/>
              </a:solidFill>
            </a:rPr>
            <a:t>H</a:t>
          </a:r>
          <a:r>
            <a:rPr lang="nl-NL" sz="1100"/>
            <a:t> (IE150) naar </a:t>
          </a:r>
          <a:r>
            <a:rPr lang="nl-NL" sz="1100" b="1">
              <a:solidFill>
                <a:srgbClr val="FF0000"/>
              </a:solidFill>
            </a:rPr>
            <a:t>6</a:t>
          </a:r>
          <a:r>
            <a:rPr lang="nl-NL" sz="1100"/>
            <a:t> (IE60) waarvoor de conversie factor van 48,5/60 (cel O9)</a:t>
          </a:r>
          <a:r>
            <a:rPr lang="nl-NL" sz="1100" baseline="0"/>
            <a:t> </a:t>
          </a:r>
          <a:r>
            <a:rPr lang="nl-NL" sz="1100"/>
            <a:t>geldt.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28574</xdr:colOff>
      <xdr:row>0</xdr:row>
      <xdr:rowOff>28575</xdr:rowOff>
    </xdr:from>
    <xdr:to>
      <xdr:col>3</xdr:col>
      <xdr:colOff>0</xdr:colOff>
      <xdr:row>32</xdr:row>
      <xdr:rowOff>161924</xdr:rowOff>
    </xdr:to>
    <xdr:sp macro="" textlink="">
      <xdr:nvSpPr>
        <xdr:cNvPr id="3" name="Tekstvak 2">
          <a:extLst>
            <a:ext uri="{FF2B5EF4-FFF2-40B4-BE49-F238E27FC236}">
              <a16:creationId xmlns:a16="http://schemas.microsoft.com/office/drawing/2014/main" id="{00000000-0008-0000-0300-000003000000}"/>
            </a:ext>
          </a:extLst>
        </xdr:cNvPr>
        <xdr:cNvSpPr txBox="1"/>
      </xdr:nvSpPr>
      <xdr:spPr>
        <a:xfrm>
          <a:off x="28574" y="28575"/>
          <a:ext cx="8620126" cy="64579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0"/>
            </a:spcAft>
          </a:pPr>
          <a:r>
            <a:rPr lang="nl-NL" sz="1600" b="1">
              <a:effectLst/>
              <a:latin typeface="Verdana"/>
              <a:ea typeface="MS Mincho"/>
              <a:cs typeface="Times New Roman"/>
            </a:rPr>
            <a:t>Titel:		RWZI-rekentool v2025-03-06</a:t>
          </a:r>
          <a:endParaRPr lang="nl-NL" sz="1100">
            <a:effectLst/>
            <a:latin typeface="+mn-lt"/>
            <a:ea typeface="Times New Roman"/>
            <a:cs typeface="Times New Roman"/>
          </a:endParaRPr>
        </a:p>
        <a:p>
          <a:pPr>
            <a:spcAft>
              <a:spcPts val="0"/>
            </a:spcAft>
          </a:pPr>
          <a:r>
            <a:rPr lang="nl-NL" sz="1100">
              <a:effectLst/>
              <a:latin typeface="+mn-lt"/>
              <a:ea typeface="MS Mincho"/>
              <a:cs typeface="Times New Roman"/>
            </a:rPr>
            <a:t>  </a:t>
          </a:r>
          <a:endParaRPr lang="nl-NL" sz="1100">
            <a:effectLst/>
            <a:latin typeface="+mn-lt"/>
            <a:ea typeface="Times New Roman"/>
            <a:cs typeface="Times New Roman"/>
          </a:endParaRPr>
        </a:p>
        <a:p>
          <a:pPr>
            <a:spcAft>
              <a:spcPts val="0"/>
            </a:spcAft>
          </a:pPr>
          <a:r>
            <a:rPr lang="nl-NL" sz="1600" b="1">
              <a:effectLst/>
              <a:latin typeface="Verdana"/>
              <a:ea typeface="MS Mincho"/>
              <a:cs typeface="Times New Roman"/>
            </a:rPr>
            <a:t>Colofon</a:t>
          </a:r>
          <a:endParaRPr lang="nl-NL" sz="1100">
            <a:effectLst/>
            <a:latin typeface="+mn-lt"/>
            <a:ea typeface="Times New Roman"/>
            <a:cs typeface="Times New Roman"/>
          </a:endParaRPr>
        </a:p>
        <a:p>
          <a:pPr marL="1803400">
            <a:spcAft>
              <a:spcPts val="0"/>
            </a:spcAft>
          </a:pPr>
          <a:r>
            <a:rPr lang="nl-NL" sz="1100">
              <a:effectLst/>
              <a:latin typeface="+mn-lt"/>
              <a:ea typeface="MS Mincho"/>
              <a:cs typeface="Times New Roman"/>
            </a:rPr>
            <a:t>Nijmegen,  06-03-2025</a:t>
          </a:r>
          <a:endParaRPr lang="nl-NL" sz="1100">
            <a:effectLst/>
            <a:latin typeface="+mn-lt"/>
            <a:ea typeface="Times New Roman"/>
            <a:cs typeface="Times New Roman"/>
          </a:endParaRPr>
        </a:p>
        <a:p>
          <a:pPr>
            <a:spcAft>
              <a:spcPts val="0"/>
            </a:spcAft>
          </a:pPr>
          <a:r>
            <a:rPr lang="nl-NL" sz="1100">
              <a:effectLst/>
              <a:latin typeface="+mn-lt"/>
              <a:ea typeface="MS Mincho"/>
              <a:cs typeface="Times New Roman"/>
            </a:rPr>
            <a:t>  </a:t>
          </a:r>
          <a:endParaRPr lang="nl-NL" sz="1100">
            <a:effectLst/>
            <a:latin typeface="+mn-lt"/>
            <a:ea typeface="Times New Roman"/>
            <a:cs typeface="Times New Roman"/>
          </a:endParaRPr>
        </a:p>
        <a:p>
          <a:pPr>
            <a:spcAft>
              <a:spcPts val="0"/>
            </a:spcAft>
          </a:pPr>
          <a:r>
            <a:rPr lang="nl-NL" sz="1100">
              <a:effectLst/>
              <a:latin typeface="+mn-lt"/>
              <a:ea typeface="MS Mincho"/>
              <a:cs typeface="Times New Roman"/>
            </a:rPr>
            <a:t>UITGAVE		Vereniging van Zuiveringbeheerders</a:t>
          </a:r>
        </a:p>
        <a:p>
          <a:pPr>
            <a:spcAft>
              <a:spcPts val="0"/>
            </a:spcAft>
          </a:pPr>
          <a:endParaRPr lang="nl-NL" sz="1100">
            <a:effectLst/>
            <a:latin typeface="+mn-lt"/>
            <a:ea typeface="Times New Roman"/>
            <a:cs typeface="Times New Roman"/>
          </a:endParaRPr>
        </a:p>
        <a:p>
          <a:pPr>
            <a:spcAft>
              <a:spcPts val="0"/>
            </a:spcAft>
          </a:pPr>
          <a:r>
            <a:rPr lang="nl-NL" sz="1100">
              <a:effectLst/>
              <a:latin typeface="+mn-lt"/>
              <a:ea typeface="MS Mincho"/>
              <a:cs typeface="Times New Roman"/>
            </a:rPr>
            <a:t> </a:t>
          </a:r>
          <a:endParaRPr lang="nl-NL" sz="1100">
            <a:effectLst/>
            <a:latin typeface="+mn-lt"/>
            <a:ea typeface="Times New Roman"/>
            <a:cs typeface="Times New Roman"/>
          </a:endParaRPr>
        </a:p>
        <a:p>
          <a:pPr>
            <a:spcAft>
              <a:spcPts val="0"/>
            </a:spcAft>
          </a:pPr>
          <a:r>
            <a:rPr lang="nl-NL" sz="1100">
              <a:effectLst/>
              <a:latin typeface="+mn-lt"/>
              <a:ea typeface="MS Mincho"/>
              <a:cs typeface="Times New Roman"/>
            </a:rPr>
            <a:t> </a:t>
          </a:r>
        </a:p>
        <a:p>
          <a:pPr>
            <a:spcAft>
              <a:spcPts val="0"/>
            </a:spcAft>
          </a:pPr>
          <a:endParaRPr lang="nl-NL" sz="1100">
            <a:effectLst/>
            <a:latin typeface="+mn-lt"/>
            <a:ea typeface="MS Mincho"/>
            <a:cs typeface="Times New Roman"/>
          </a:endParaRPr>
        </a:p>
        <a:p>
          <a:pPr>
            <a:spcAft>
              <a:spcPts val="0"/>
            </a:spcAft>
          </a:pPr>
          <a:endParaRPr lang="nl-NL" sz="1100">
            <a:effectLst/>
            <a:latin typeface="+mn-lt"/>
            <a:ea typeface="MS Mincho"/>
            <a:cs typeface="Times New Roman"/>
          </a:endParaRPr>
        </a:p>
        <a:p>
          <a:pPr>
            <a:spcAft>
              <a:spcPts val="0"/>
            </a:spcAft>
          </a:pPr>
          <a:r>
            <a:rPr lang="nl-NL" sz="1100">
              <a:effectLst/>
              <a:latin typeface="+mn-lt"/>
              <a:ea typeface="MS Mincho"/>
              <a:cs typeface="Times New Roman"/>
            </a:rPr>
            <a:t> </a:t>
          </a:r>
          <a:endParaRPr lang="nl-NL" sz="1100">
            <a:effectLst/>
            <a:latin typeface="+mn-lt"/>
            <a:ea typeface="Times New Roman"/>
            <a:cs typeface="Times New Roman"/>
          </a:endParaRPr>
        </a:p>
        <a:p>
          <a:pPr>
            <a:spcAft>
              <a:spcPts val="0"/>
            </a:spcAft>
          </a:pPr>
          <a:r>
            <a:rPr lang="nl-NL" sz="1100">
              <a:effectLst/>
              <a:latin typeface="+mn-lt"/>
              <a:ea typeface="MS Mincho"/>
              <a:cs typeface="Times New Roman"/>
            </a:rPr>
            <a:t> </a:t>
          </a:r>
          <a:endParaRPr lang="nl-NL" sz="1100">
            <a:effectLst/>
            <a:latin typeface="+mn-lt"/>
            <a:ea typeface="Times New Roman"/>
            <a:cs typeface="Times New Roman"/>
          </a:endParaRPr>
        </a:p>
        <a:p>
          <a:pPr>
            <a:spcAft>
              <a:spcPts val="0"/>
            </a:spcAft>
          </a:pPr>
          <a:r>
            <a:rPr lang="nl-NL" sz="1100">
              <a:effectLst/>
              <a:latin typeface="+mn-lt"/>
              <a:ea typeface="MS Mincho"/>
              <a:cs typeface="Times New Roman"/>
            </a:rPr>
            <a:t> </a:t>
          </a:r>
          <a:br>
            <a:rPr lang="nl-NL">
              <a:effectLst/>
            </a:rPr>
          </a:br>
          <a:r>
            <a:rPr lang="nl-NL" sz="1100">
              <a:effectLst/>
              <a:latin typeface="+mn-lt"/>
              <a:ea typeface="MS Mincho"/>
              <a:cs typeface="Times New Roman"/>
            </a:rPr>
            <a:t>AUTEUR		ing. J.J.M. Baltussen (BACO-adviesbureau BV)</a:t>
          </a:r>
        </a:p>
        <a:p>
          <a:pPr>
            <a:spcAft>
              <a:spcPts val="0"/>
            </a:spcAft>
          </a:pPr>
          <a:r>
            <a:rPr lang="nl-NL" sz="1100">
              <a:effectLst/>
              <a:latin typeface="+mn-lt"/>
              <a:ea typeface="MS Mincho"/>
              <a:cs typeface="Times New Roman"/>
            </a:rPr>
            <a:t>	</a:t>
          </a:r>
          <a:endParaRPr lang="nl-NL" sz="1100">
            <a:effectLst/>
            <a:latin typeface="+mn-lt"/>
            <a:ea typeface="Times New Roman"/>
            <a:cs typeface="Times New Roman"/>
          </a:endParaRPr>
        </a:p>
        <a:p>
          <a:pPr marL="1350645" indent="450215">
            <a:spcAft>
              <a:spcPts val="0"/>
            </a:spcAft>
          </a:pPr>
          <a:endParaRPr lang="nl-NL" sz="1100">
            <a:effectLst/>
            <a:latin typeface="+mn-lt"/>
            <a:ea typeface="MS Mincho"/>
            <a:cs typeface="Times New Roman"/>
          </a:endParaRPr>
        </a:p>
        <a:p>
          <a:pPr marL="1350645" indent="450215">
            <a:spcAft>
              <a:spcPts val="0"/>
            </a:spcAft>
          </a:pPr>
          <a:endParaRPr lang="nl-NL" sz="1100">
            <a:effectLst/>
            <a:latin typeface="+mn-lt"/>
            <a:ea typeface="MS Mincho"/>
            <a:cs typeface="Times New Roman"/>
          </a:endParaRPr>
        </a:p>
        <a:p>
          <a:pPr marL="1350645" indent="450215">
            <a:spcAft>
              <a:spcPts val="0"/>
            </a:spcAft>
          </a:pPr>
          <a:endParaRPr lang="nl-NL" sz="1100">
            <a:effectLst/>
            <a:latin typeface="+mn-lt"/>
            <a:ea typeface="MS Mincho"/>
            <a:cs typeface="Times New Roman"/>
          </a:endParaRPr>
        </a:p>
        <a:p>
          <a:pPr marL="1350645" indent="450215">
            <a:spcAft>
              <a:spcPts val="0"/>
            </a:spcAft>
          </a:pPr>
          <a:endParaRPr lang="nl-NL" sz="1100">
            <a:effectLst/>
            <a:latin typeface="+mn-lt"/>
            <a:ea typeface="MS Mincho"/>
            <a:cs typeface="Times New Roman"/>
          </a:endParaRPr>
        </a:p>
        <a:p>
          <a:pPr marL="1350645" indent="450215">
            <a:spcAft>
              <a:spcPts val="0"/>
            </a:spcAft>
          </a:pPr>
          <a:endParaRPr lang="nl-NL" sz="1100">
            <a:effectLst/>
            <a:latin typeface="+mn-lt"/>
            <a:ea typeface="MS Mincho"/>
            <a:cs typeface="Times New Roman"/>
          </a:endParaRPr>
        </a:p>
        <a:p>
          <a:pPr marL="1350645" indent="450215">
            <a:spcAft>
              <a:spcPts val="0"/>
            </a:spcAft>
          </a:pPr>
          <a:endParaRPr lang="nl-NL" sz="1100">
            <a:effectLst/>
            <a:latin typeface="+mn-lt"/>
            <a:ea typeface="MS Mincho"/>
            <a:cs typeface="Times New Roman"/>
          </a:endParaRPr>
        </a:p>
        <a:p>
          <a:pPr>
            <a:spcAft>
              <a:spcPts val="0"/>
            </a:spcAft>
          </a:pPr>
          <a:endParaRPr lang="nl-NL" sz="1100">
            <a:effectLst/>
            <a:latin typeface="+mn-lt"/>
            <a:ea typeface="Times New Roman"/>
            <a:cs typeface="Times New Roman"/>
          </a:endParaRPr>
        </a:p>
        <a:p>
          <a:pPr marL="1828800" marR="0" lvl="4" indent="0" defTabSz="914400" eaLnBrk="1" fontAlgn="auto" latinLnBrk="0" hangingPunct="1">
            <a:lnSpc>
              <a:spcPct val="100000"/>
            </a:lnSpc>
            <a:spcBef>
              <a:spcPts val="0"/>
            </a:spcBef>
            <a:spcAft>
              <a:spcPts val="0"/>
            </a:spcAft>
            <a:buClrTx/>
            <a:buSzTx/>
            <a:buFontTx/>
            <a:buNone/>
            <a:tabLst/>
            <a:defRPr/>
          </a:pPr>
          <a:r>
            <a:rPr lang="fr-FR" sz="1100">
              <a:solidFill>
                <a:schemeClr val="dk1"/>
              </a:solidFill>
              <a:effectLst/>
              <a:latin typeface="+mn-lt"/>
              <a:ea typeface="+mn-ea"/>
              <a:cs typeface="+mn-cs"/>
            </a:rPr>
            <a:t>			tel.: 0626-148041 </a:t>
          </a:r>
          <a:br>
            <a:rPr lang="fr-FR" sz="1100">
              <a:solidFill>
                <a:schemeClr val="dk1"/>
              </a:solidFill>
              <a:effectLst/>
              <a:latin typeface="+mn-lt"/>
              <a:ea typeface="+mn-ea"/>
              <a:cs typeface="+mn-cs"/>
            </a:rPr>
          </a:br>
          <a:r>
            <a:rPr lang="fr-FR" sz="1100">
              <a:solidFill>
                <a:schemeClr val="dk1"/>
              </a:solidFill>
              <a:effectLst/>
              <a:latin typeface="+mn-lt"/>
              <a:ea typeface="+mn-ea"/>
              <a:cs typeface="+mn-cs"/>
            </a:rPr>
            <a:t>			e-mail: </a:t>
          </a:r>
          <a:r>
            <a:rPr lang="fr-FR" sz="1100" u="sng">
              <a:solidFill>
                <a:schemeClr val="dk1"/>
              </a:solidFill>
              <a:effectLst/>
              <a:latin typeface="+mn-lt"/>
              <a:ea typeface="+mn-ea"/>
              <a:cs typeface="+mn-cs"/>
              <a:hlinkClick xmlns:r="http://schemas.openxmlformats.org/officeDocument/2006/relationships" r:id=""/>
            </a:rPr>
            <a:t>j.baltussen@baco.nl</a:t>
          </a:r>
          <a:endParaRPr lang="nl-NL" sz="1100">
            <a:solidFill>
              <a:schemeClr val="dk1"/>
            </a:solidFill>
            <a:effectLst/>
            <a:latin typeface="+mn-lt"/>
            <a:ea typeface="+mn-ea"/>
            <a:cs typeface="+mn-cs"/>
          </a:endParaRPr>
        </a:p>
        <a:p>
          <a:pPr>
            <a:spcAft>
              <a:spcPts val="0"/>
            </a:spcAft>
          </a:pPr>
          <a:endParaRPr lang="nl-NL" sz="1100">
            <a:effectLst/>
            <a:latin typeface="+mn-lt"/>
            <a:ea typeface="MS Mincho"/>
            <a:cs typeface="Times New Roman"/>
          </a:endParaRPr>
        </a:p>
        <a:p>
          <a:pPr>
            <a:spcAft>
              <a:spcPts val="0"/>
            </a:spcAft>
          </a:pPr>
          <a:r>
            <a:rPr lang="nl-NL" sz="1100">
              <a:effectLst/>
              <a:latin typeface="+mn-lt"/>
              <a:ea typeface="MS Mincho"/>
              <a:cs typeface="Times New Roman"/>
            </a:rPr>
            <a:t>MET ONDERSTEUNING VAN</a:t>
          </a:r>
          <a:endParaRPr lang="nl-NL" sz="1100">
            <a:effectLst/>
            <a:latin typeface="+mn-lt"/>
            <a:ea typeface="Times New Roman"/>
            <a:cs typeface="Times New Roman"/>
          </a:endParaRPr>
        </a:p>
        <a:p>
          <a:pPr lvl="4"/>
          <a:r>
            <a:rPr lang="nl-NL" sz="1100">
              <a:solidFill>
                <a:schemeClr val="dk1"/>
              </a:solidFill>
              <a:effectLst/>
              <a:latin typeface="+mn-lt"/>
              <a:ea typeface="+mn-ea"/>
              <a:cs typeface="+mn-cs"/>
            </a:rPr>
            <a:t>Dhr ir. C. Baas (CBS)</a:t>
          </a:r>
        </a:p>
        <a:p>
          <a:pPr lvl="4"/>
          <a:endParaRPr lang="nl-NL" sz="1100">
            <a:solidFill>
              <a:schemeClr val="dk1"/>
            </a:solidFill>
            <a:effectLst/>
            <a:latin typeface="+mn-lt"/>
            <a:ea typeface="+mn-ea"/>
            <a:cs typeface="+mn-cs"/>
          </a:endParaRPr>
        </a:p>
        <a:p>
          <a:pPr lvl="4"/>
          <a:endParaRPr lang="nl-NL" sz="1100">
            <a:solidFill>
              <a:schemeClr val="dk1"/>
            </a:solidFill>
            <a:effectLst/>
            <a:latin typeface="+mn-lt"/>
            <a:ea typeface="+mn-ea"/>
            <a:cs typeface="+mn-cs"/>
          </a:endParaRPr>
        </a:p>
      </xdr:txBody>
    </xdr:sp>
    <xdr:clientData/>
  </xdr:twoCellAnchor>
  <xdr:twoCellAnchor editAs="oneCell">
    <xdr:from>
      <xdr:col>2</xdr:col>
      <xdr:colOff>3025140</xdr:colOff>
      <xdr:row>12</xdr:row>
      <xdr:rowOff>166068</xdr:rowOff>
    </xdr:from>
    <xdr:to>
      <xdr:col>2</xdr:col>
      <xdr:colOff>4181475</xdr:colOff>
      <xdr:row>21</xdr:row>
      <xdr:rowOff>74295</xdr:rowOff>
    </xdr:to>
    <xdr:pic>
      <xdr:nvPicPr>
        <xdr:cNvPr id="6" name="Afbeelding 5">
          <a:extLst>
            <a:ext uri="{FF2B5EF4-FFF2-40B4-BE49-F238E27FC236}">
              <a16:creationId xmlns:a16="http://schemas.microsoft.com/office/drawing/2014/main" id="{8AC084B8-18C0-4F89-AA7B-A8308E513B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16780" y="2612088"/>
          <a:ext cx="1158240" cy="1554147"/>
        </a:xfrm>
        <a:prstGeom prst="rect">
          <a:avLst/>
        </a:prstGeom>
      </xdr:spPr>
    </xdr:pic>
    <xdr:clientData/>
  </xdr:twoCellAnchor>
  <xdr:twoCellAnchor editAs="oneCell">
    <xdr:from>
      <xdr:col>2</xdr:col>
      <xdr:colOff>3038476</xdr:colOff>
      <xdr:row>3</xdr:row>
      <xdr:rowOff>142875</xdr:rowOff>
    </xdr:from>
    <xdr:to>
      <xdr:col>2</xdr:col>
      <xdr:colOff>4630972</xdr:colOff>
      <xdr:row>9</xdr:row>
      <xdr:rowOff>53340</xdr:rowOff>
    </xdr:to>
    <xdr:pic>
      <xdr:nvPicPr>
        <xdr:cNvPr id="8" name="Afbeelding 7">
          <a:extLst>
            <a:ext uri="{FF2B5EF4-FFF2-40B4-BE49-F238E27FC236}">
              <a16:creationId xmlns:a16="http://schemas.microsoft.com/office/drawing/2014/main" id="{BEA1D254-B26F-498F-91E5-715E7359851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686301" y="866775"/>
          <a:ext cx="1588686" cy="11334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engineeringtoolbox.com/standard-heat-of-combustion-energy-content-d_1987.html"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FF66"/>
  </sheetPr>
  <dimension ref="A1:I43"/>
  <sheetViews>
    <sheetView zoomScaleNormal="100" workbookViewId="0">
      <selection activeCell="D48" sqref="D48"/>
    </sheetView>
  </sheetViews>
  <sheetFormatPr defaultColWidth="8.90625" defaultRowHeight="13" x14ac:dyDescent="0.3"/>
  <cols>
    <col min="1" max="1" width="6.08984375" style="2" customWidth="1"/>
    <col min="2" max="2" width="12" style="2" hidden="1" customWidth="1"/>
    <col min="3" max="3" width="12.453125" style="2" hidden="1" customWidth="1"/>
    <col min="4" max="4" width="33.08984375" style="3" customWidth="1"/>
    <col min="5" max="5" width="13.453125" style="4" customWidth="1"/>
    <col min="6" max="6" width="19" style="1" customWidth="1"/>
    <col min="7" max="7" width="15.90625" style="1" customWidth="1"/>
    <col min="8" max="8" width="24.08984375" style="1" customWidth="1"/>
    <col min="9" max="9" width="18.90625" style="1" customWidth="1"/>
    <col min="10" max="16384" width="8.90625" style="1"/>
  </cols>
  <sheetData>
    <row r="1" spans="1:9" ht="14.5" x14ac:dyDescent="0.35">
      <c r="A1" s="193" t="s">
        <v>365</v>
      </c>
    </row>
    <row r="2" spans="1:9" x14ac:dyDescent="0.3">
      <c r="A2" s="2" t="s">
        <v>366</v>
      </c>
    </row>
    <row r="3" spans="1:9" x14ac:dyDescent="0.3">
      <c r="A3" s="2" t="s">
        <v>397</v>
      </c>
      <c r="G3" s="330"/>
    </row>
    <row r="5" spans="1:9" ht="15.5" x14ac:dyDescent="0.35">
      <c r="A5" s="33" t="s">
        <v>32</v>
      </c>
    </row>
    <row r="7" spans="1:9" x14ac:dyDescent="0.3">
      <c r="A7" s="340" t="s">
        <v>22</v>
      </c>
      <c r="B7" s="340"/>
      <c r="C7" s="340"/>
      <c r="D7" s="340"/>
      <c r="E7" s="26" t="s">
        <v>20</v>
      </c>
      <c r="F7" s="329">
        <v>100000</v>
      </c>
      <c r="G7" s="225" t="s">
        <v>376</v>
      </c>
    </row>
    <row r="9" spans="1:9" ht="56.4" customHeight="1" x14ac:dyDescent="0.3">
      <c r="A9" s="99" t="s">
        <v>24</v>
      </c>
      <c r="B9" s="99" t="s">
        <v>0</v>
      </c>
      <c r="C9" s="99" t="s">
        <v>1</v>
      </c>
      <c r="D9" s="99" t="s">
        <v>2</v>
      </c>
      <c r="E9" s="102" t="s">
        <v>381</v>
      </c>
      <c r="F9" s="102" t="s">
        <v>565</v>
      </c>
      <c r="G9" s="102" t="s">
        <v>21</v>
      </c>
      <c r="H9" s="99" t="s">
        <v>28</v>
      </c>
      <c r="I9" s="99" t="s">
        <v>23</v>
      </c>
    </row>
    <row r="10" spans="1:9" ht="15" x14ac:dyDescent="0.4">
      <c r="A10" s="99"/>
      <c r="B10" s="99"/>
      <c r="C10" s="99"/>
      <c r="D10" s="99"/>
      <c r="E10" s="226" t="s">
        <v>3</v>
      </c>
      <c r="F10" s="61" t="s">
        <v>378</v>
      </c>
      <c r="G10" s="61" t="s">
        <v>3</v>
      </c>
      <c r="H10" s="24"/>
      <c r="I10" s="24" t="s">
        <v>3</v>
      </c>
    </row>
    <row r="11" spans="1:9" x14ac:dyDescent="0.3">
      <c r="A11" s="99"/>
      <c r="B11" s="99"/>
      <c r="C11" s="99"/>
      <c r="D11" s="99"/>
      <c r="E11" s="226"/>
      <c r="F11" s="61"/>
      <c r="G11" s="61"/>
      <c r="H11" s="24"/>
      <c r="I11" s="24"/>
    </row>
    <row r="12" spans="1:9" x14ac:dyDescent="0.3">
      <c r="A12" s="99"/>
      <c r="B12" s="99"/>
      <c r="C12" s="99"/>
      <c r="D12" s="99"/>
      <c r="E12" s="226"/>
      <c r="F12" s="61"/>
      <c r="G12" s="61"/>
      <c r="H12" s="24"/>
      <c r="I12" s="24"/>
    </row>
    <row r="13" spans="1:9" x14ac:dyDescent="0.3">
      <c r="A13" s="99"/>
      <c r="B13" s="99"/>
      <c r="C13" s="99"/>
      <c r="D13" s="99"/>
      <c r="E13" s="226"/>
      <c r="F13" s="61"/>
      <c r="G13" s="61"/>
      <c r="H13" s="24"/>
      <c r="I13" s="24"/>
    </row>
    <row r="14" spans="1:9" x14ac:dyDescent="0.3">
      <c r="A14" s="99"/>
      <c r="B14" s="99"/>
      <c r="C14" s="99"/>
      <c r="D14" s="99"/>
      <c r="E14" s="226"/>
      <c r="F14" s="61"/>
      <c r="G14" s="61"/>
      <c r="H14" s="24"/>
      <c r="I14" s="24"/>
    </row>
    <row r="15" spans="1:9" x14ac:dyDescent="0.3">
      <c r="A15" s="242">
        <v>17</v>
      </c>
      <c r="B15" s="99"/>
      <c r="C15" s="99"/>
      <c r="D15" s="243" t="s">
        <v>389</v>
      </c>
      <c r="E15" s="227">
        <v>5</v>
      </c>
      <c r="F15" s="244">
        <v>72.5</v>
      </c>
      <c r="G15" s="248">
        <f t="shared" ref="G15:G22" si="0">$F$7*F15/1000000</f>
        <v>7.25</v>
      </c>
      <c r="H15" s="10" t="str">
        <f t="shared" ref="H15:H22" si="1">IF(G15&lt;E15,"nee","ja")</f>
        <v>ja</v>
      </c>
      <c r="I15" s="249">
        <f t="shared" ref="I15:I22" si="2">IF(H15="nee",,G15)</f>
        <v>7.25</v>
      </c>
    </row>
    <row r="16" spans="1:9" x14ac:dyDescent="0.3">
      <c r="A16" s="242">
        <v>18</v>
      </c>
      <c r="B16" s="99"/>
      <c r="C16" s="99"/>
      <c r="D16" s="243" t="s">
        <v>390</v>
      </c>
      <c r="E16" s="227">
        <v>5</v>
      </c>
      <c r="F16" s="245">
        <v>0.121</v>
      </c>
      <c r="G16" s="247">
        <f t="shared" si="0"/>
        <v>1.21E-2</v>
      </c>
      <c r="H16" s="10" t="str">
        <f t="shared" si="1"/>
        <v>nee</v>
      </c>
      <c r="I16" s="21">
        <f t="shared" si="2"/>
        <v>0</v>
      </c>
    </row>
    <row r="17" spans="1:9" x14ac:dyDescent="0.3">
      <c r="A17" s="242">
        <v>19</v>
      </c>
      <c r="B17" s="99"/>
      <c r="C17" s="99"/>
      <c r="D17" s="243" t="s">
        <v>391</v>
      </c>
      <c r="E17" s="227">
        <v>50</v>
      </c>
      <c r="F17" s="244">
        <v>39.700000000000003</v>
      </c>
      <c r="G17" s="248">
        <f t="shared" si="0"/>
        <v>3.9700000000000006</v>
      </c>
      <c r="H17" s="10" t="str">
        <f t="shared" si="1"/>
        <v>nee</v>
      </c>
      <c r="I17" s="21">
        <f t="shared" si="2"/>
        <v>0</v>
      </c>
    </row>
    <row r="18" spans="1:9" x14ac:dyDescent="0.3">
      <c r="A18" s="242">
        <v>20</v>
      </c>
      <c r="B18" s="99"/>
      <c r="C18" s="99"/>
      <c r="D18" s="243" t="s">
        <v>392</v>
      </c>
      <c r="E18" s="227">
        <v>50</v>
      </c>
      <c r="F18" s="331">
        <v>58.4</v>
      </c>
      <c r="G18" s="248">
        <f t="shared" si="0"/>
        <v>5.84</v>
      </c>
      <c r="H18" s="10" t="str">
        <f t="shared" si="1"/>
        <v>nee</v>
      </c>
      <c r="I18" s="249">
        <f t="shared" si="2"/>
        <v>0</v>
      </c>
    </row>
    <row r="19" spans="1:9" x14ac:dyDescent="0.3">
      <c r="A19" s="242">
        <v>21</v>
      </c>
      <c r="B19" s="99"/>
      <c r="C19" s="99"/>
      <c r="D19" s="243" t="s">
        <v>393</v>
      </c>
      <c r="E19" s="227">
        <v>1</v>
      </c>
      <c r="F19" s="245">
        <v>0.124</v>
      </c>
      <c r="G19" s="247">
        <f t="shared" si="0"/>
        <v>1.24E-2</v>
      </c>
      <c r="H19" s="10" t="str">
        <f t="shared" si="1"/>
        <v>nee</v>
      </c>
      <c r="I19" s="21">
        <f t="shared" si="2"/>
        <v>0</v>
      </c>
    </row>
    <row r="20" spans="1:9" x14ac:dyDescent="0.3">
      <c r="A20" s="242">
        <v>22</v>
      </c>
      <c r="B20" s="99"/>
      <c r="C20" s="99"/>
      <c r="D20" s="243" t="s">
        <v>394</v>
      </c>
      <c r="E20" s="227">
        <v>20</v>
      </c>
      <c r="F20" s="246">
        <v>229</v>
      </c>
      <c r="G20" s="141">
        <f t="shared" si="0"/>
        <v>22.9</v>
      </c>
      <c r="H20" s="10" t="str">
        <f t="shared" si="1"/>
        <v>ja</v>
      </c>
      <c r="I20" s="13">
        <f t="shared" si="2"/>
        <v>22.9</v>
      </c>
    </row>
    <row r="21" spans="1:9" x14ac:dyDescent="0.3">
      <c r="A21" s="242">
        <v>23</v>
      </c>
      <c r="B21" s="99"/>
      <c r="C21" s="99"/>
      <c r="D21" s="243" t="s">
        <v>395</v>
      </c>
      <c r="E21" s="227">
        <v>20</v>
      </c>
      <c r="F21" s="245">
        <v>0.873</v>
      </c>
      <c r="G21" s="248">
        <f t="shared" si="0"/>
        <v>8.7300000000000003E-2</v>
      </c>
      <c r="H21" s="10" t="str">
        <f t="shared" si="1"/>
        <v>nee</v>
      </c>
      <c r="I21" s="21">
        <f t="shared" si="2"/>
        <v>0</v>
      </c>
    </row>
    <row r="22" spans="1:9" x14ac:dyDescent="0.3">
      <c r="A22" s="242">
        <v>24</v>
      </c>
      <c r="B22" s="99"/>
      <c r="C22" s="99"/>
      <c r="D22" s="243" t="s">
        <v>396</v>
      </c>
      <c r="E22" s="227">
        <v>100</v>
      </c>
      <c r="F22" s="246">
        <v>1089</v>
      </c>
      <c r="G22" s="141">
        <f t="shared" si="0"/>
        <v>108.9</v>
      </c>
      <c r="H22" s="10" t="str">
        <f t="shared" si="1"/>
        <v>ja</v>
      </c>
      <c r="I22" s="13">
        <f t="shared" si="2"/>
        <v>108.9</v>
      </c>
    </row>
    <row r="23" spans="1:9" x14ac:dyDescent="0.3">
      <c r="A23" s="242"/>
      <c r="B23" s="99"/>
      <c r="C23" s="99"/>
      <c r="D23" s="243"/>
      <c r="E23" s="227"/>
      <c r="F23" s="246"/>
      <c r="G23" s="141"/>
    </row>
    <row r="24" spans="1:9" x14ac:dyDescent="0.3">
      <c r="A24" s="242"/>
      <c r="B24" s="99"/>
      <c r="C24" s="99"/>
      <c r="D24" s="243"/>
      <c r="E24" s="227"/>
      <c r="F24" s="246"/>
      <c r="G24" s="141"/>
    </row>
    <row r="25" spans="1:9" x14ac:dyDescent="0.3">
      <c r="A25" s="242"/>
      <c r="B25" s="99"/>
      <c r="C25" s="99"/>
      <c r="D25" s="243"/>
      <c r="E25" s="227"/>
      <c r="F25" s="246"/>
      <c r="G25" s="141"/>
    </row>
    <row r="26" spans="1:9" x14ac:dyDescent="0.3">
      <c r="A26" s="242"/>
      <c r="B26" s="99"/>
      <c r="C26" s="99"/>
      <c r="D26" s="243"/>
      <c r="E26" s="227"/>
      <c r="F26" s="246"/>
      <c r="G26" s="141"/>
    </row>
    <row r="27" spans="1:9" x14ac:dyDescent="0.3">
      <c r="A27" s="242"/>
      <c r="B27" s="99"/>
      <c r="C27" s="99"/>
      <c r="D27" s="243"/>
      <c r="E27" s="227"/>
      <c r="F27" s="246"/>
      <c r="G27" s="141"/>
    </row>
    <row r="28" spans="1:9" ht="12.75" customHeight="1" x14ac:dyDescent="0.3">
      <c r="A28" s="160">
        <v>37</v>
      </c>
      <c r="B28" s="2" t="s">
        <v>4</v>
      </c>
      <c r="C28" s="2" t="s">
        <v>5</v>
      </c>
      <c r="D28" s="98" t="s">
        <v>6</v>
      </c>
      <c r="E28" s="227">
        <v>1</v>
      </c>
      <c r="F28" s="335">
        <v>0.25600000000000001</v>
      </c>
      <c r="G28" s="228">
        <f t="shared" ref="G28:G34" si="3">$F$7*F28/1000000</f>
        <v>2.5600000000000001E-2</v>
      </c>
      <c r="H28" s="10" t="str">
        <f t="shared" ref="H28:H34" si="4">IF(G28&lt;E28,"nee","ja")</f>
        <v>nee</v>
      </c>
      <c r="I28" s="21">
        <f t="shared" ref="I28:I34" si="5">IF(H28="nee",,G28)</f>
        <v>0</v>
      </c>
    </row>
    <row r="29" spans="1:9" ht="12.75" customHeight="1" x14ac:dyDescent="0.3">
      <c r="A29" s="229">
        <v>40</v>
      </c>
      <c r="B29" s="98"/>
      <c r="C29" s="98" t="s">
        <v>7</v>
      </c>
      <c r="D29" s="98" t="s">
        <v>8</v>
      </c>
      <c r="E29" s="227">
        <v>1000</v>
      </c>
      <c r="F29" s="336">
        <v>3206</v>
      </c>
      <c r="G29" s="141">
        <f t="shared" si="3"/>
        <v>320.60000000000002</v>
      </c>
      <c r="H29" s="10" t="str">
        <f t="shared" si="4"/>
        <v>nee</v>
      </c>
      <c r="I29" s="13">
        <f t="shared" si="5"/>
        <v>0</v>
      </c>
    </row>
    <row r="30" spans="1:9" ht="12.75" customHeight="1" x14ac:dyDescent="0.3">
      <c r="A30" s="229">
        <v>51</v>
      </c>
      <c r="B30" s="2" t="s">
        <v>9</v>
      </c>
      <c r="C30" s="2" t="s">
        <v>10</v>
      </c>
      <c r="D30" s="98" t="s">
        <v>11</v>
      </c>
      <c r="E30" s="227">
        <v>1</v>
      </c>
      <c r="F30" s="335">
        <v>0.32300000000000001</v>
      </c>
      <c r="G30" s="228">
        <f t="shared" si="3"/>
        <v>3.2300000000000002E-2</v>
      </c>
      <c r="H30" s="10" t="str">
        <f t="shared" si="4"/>
        <v>nee</v>
      </c>
      <c r="I30" s="14">
        <f t="shared" si="5"/>
        <v>0</v>
      </c>
    </row>
    <row r="31" spans="1:9" ht="12.75" customHeight="1" x14ac:dyDescent="0.3">
      <c r="A31" s="229">
        <v>63</v>
      </c>
      <c r="B31" s="98" t="s">
        <v>379</v>
      </c>
      <c r="C31" s="98"/>
      <c r="D31" s="98" t="s">
        <v>12</v>
      </c>
      <c r="E31" s="227">
        <v>1</v>
      </c>
      <c r="F31" s="337">
        <v>0.13844086055327515</v>
      </c>
      <c r="G31" s="230">
        <f t="shared" si="3"/>
        <v>1.3844086055327514E-2</v>
      </c>
      <c r="H31" s="10" t="str">
        <f t="shared" si="4"/>
        <v>nee</v>
      </c>
      <c r="I31" s="11">
        <f t="shared" si="5"/>
        <v>0</v>
      </c>
    </row>
    <row r="32" spans="1:9" ht="12.75" customHeight="1" x14ac:dyDescent="0.3">
      <c r="A32" s="229">
        <v>67</v>
      </c>
      <c r="B32" s="98" t="s">
        <v>13</v>
      </c>
      <c r="C32" s="98" t="s">
        <v>14</v>
      </c>
      <c r="D32" s="98" t="s">
        <v>15</v>
      </c>
      <c r="E32" s="227">
        <v>1</v>
      </c>
      <c r="F32" s="338">
        <v>4.4699999999999997E-2</v>
      </c>
      <c r="G32" s="228">
        <f t="shared" si="3"/>
        <v>4.47E-3</v>
      </c>
      <c r="H32" s="10" t="str">
        <f t="shared" si="4"/>
        <v>nee</v>
      </c>
      <c r="I32" s="11">
        <f t="shared" si="5"/>
        <v>0</v>
      </c>
    </row>
    <row r="33" spans="1:9" ht="12.75" customHeight="1" x14ac:dyDescent="0.3">
      <c r="A33" s="229">
        <v>82</v>
      </c>
      <c r="B33" s="98"/>
      <c r="C33" s="98" t="s">
        <v>16</v>
      </c>
      <c r="D33" s="98" t="s">
        <v>17</v>
      </c>
      <c r="E33" s="227">
        <v>50</v>
      </c>
      <c r="F33" s="339">
        <v>134</v>
      </c>
      <c r="G33" s="141">
        <f t="shared" si="3"/>
        <v>13.4</v>
      </c>
      <c r="H33" s="10" t="str">
        <f t="shared" si="4"/>
        <v>nee</v>
      </c>
      <c r="I33" s="13">
        <f t="shared" si="5"/>
        <v>0</v>
      </c>
    </row>
    <row r="34" spans="1:9" ht="12.75" customHeight="1" x14ac:dyDescent="0.3">
      <c r="A34" s="229">
        <v>83</v>
      </c>
      <c r="B34" s="98"/>
      <c r="C34" s="98" t="s">
        <v>18</v>
      </c>
      <c r="D34" s="98" t="s">
        <v>19</v>
      </c>
      <c r="E34" s="227">
        <v>2000</v>
      </c>
      <c r="F34" s="339">
        <v>12372</v>
      </c>
      <c r="G34" s="141">
        <f t="shared" si="3"/>
        <v>1237.2</v>
      </c>
      <c r="H34" s="10" t="str">
        <f t="shared" si="4"/>
        <v>nee</v>
      </c>
      <c r="I34" s="13">
        <f t="shared" si="5"/>
        <v>0</v>
      </c>
    </row>
    <row r="35" spans="1:9" ht="12.75" customHeight="1" x14ac:dyDescent="0.3">
      <c r="A35" s="99"/>
      <c r="D35" s="99"/>
      <c r="E35" s="72"/>
    </row>
    <row r="36" spans="1:9" x14ac:dyDescent="0.3">
      <c r="D36" s="82"/>
      <c r="E36" s="72"/>
    </row>
    <row r="37" spans="1:9" x14ac:dyDescent="0.3">
      <c r="D37" s="82"/>
      <c r="E37" s="72"/>
    </row>
    <row r="38" spans="1:9" x14ac:dyDescent="0.3">
      <c r="D38" s="82"/>
      <c r="E38" s="72"/>
    </row>
    <row r="39" spans="1:9" x14ac:dyDescent="0.3">
      <c r="D39" s="82"/>
      <c r="E39" s="72"/>
    </row>
    <row r="40" spans="1:9" x14ac:dyDescent="0.3">
      <c r="D40" s="82"/>
      <c r="E40" s="72"/>
    </row>
    <row r="41" spans="1:9" x14ac:dyDescent="0.3">
      <c r="D41" s="82"/>
      <c r="E41" s="72"/>
    </row>
    <row r="42" spans="1:9" x14ac:dyDescent="0.3">
      <c r="D42" s="82"/>
      <c r="E42" s="72"/>
    </row>
    <row r="43" spans="1:9" x14ac:dyDescent="0.3">
      <c r="D43" s="82"/>
      <c r="E43" s="72"/>
    </row>
  </sheetData>
  <mergeCells count="1">
    <mergeCell ref="A7:D7"/>
  </mergeCells>
  <conditionalFormatting sqref="H15:H22 H28:H34">
    <cfRule type="containsText" dxfId="39" priority="3" operator="containsText" text="ja">
      <formula>NOT(ISERROR(SEARCH("ja",H15)))</formula>
    </cfRule>
    <cfRule type="containsText" dxfId="38" priority="4" operator="containsText" text="nee">
      <formula>NOT(ISERROR(SEARCH("nee",H15)))</formula>
    </cfRule>
  </conditionalFormatting>
  <conditionalFormatting sqref="I15:I22">
    <cfRule type="cellIs" dxfId="37" priority="1" operator="lessThan">
      <formula>$E$28</formula>
    </cfRule>
    <cfRule type="cellIs" dxfId="36" priority="2" operator="greaterThanOrEqual">
      <formula>$E$28</formula>
    </cfRule>
  </conditionalFormatting>
  <conditionalFormatting sqref="I28">
    <cfRule type="cellIs" dxfId="35" priority="51" operator="lessThan">
      <formula>$E$28</formula>
    </cfRule>
    <cfRule type="cellIs" dxfId="34" priority="52" operator="greaterThanOrEqual">
      <formula>$E$28</formula>
    </cfRule>
  </conditionalFormatting>
  <conditionalFormatting sqref="I29">
    <cfRule type="cellIs" dxfId="33" priority="43" operator="lessThan">
      <formula>$E$29</formula>
    </cfRule>
    <cfRule type="cellIs" dxfId="32" priority="44" operator="greaterThanOrEqual">
      <formula>$E$29</formula>
    </cfRule>
  </conditionalFormatting>
  <conditionalFormatting sqref="I30">
    <cfRule type="cellIs" dxfId="31" priority="15" operator="lessThan">
      <formula>$E$30</formula>
    </cfRule>
    <cfRule type="cellIs" dxfId="30" priority="16" operator="greaterThanOrEqual">
      <formula>$E$30</formula>
    </cfRule>
  </conditionalFormatting>
  <conditionalFormatting sqref="I31">
    <cfRule type="cellIs" dxfId="29" priority="19" operator="greaterThanOrEqual">
      <formula>$E$31</formula>
    </cfRule>
    <cfRule type="cellIs" dxfId="28" priority="20" operator="lessThan">
      <formula>$E$31</formula>
    </cfRule>
  </conditionalFormatting>
  <conditionalFormatting sqref="I32">
    <cfRule type="cellIs" dxfId="27" priority="17" operator="greaterThanOrEqual">
      <formula>$E$32</formula>
    </cfRule>
    <cfRule type="cellIs" dxfId="26" priority="18" operator="lessThan">
      <formula>$E$32</formula>
    </cfRule>
  </conditionalFormatting>
  <conditionalFormatting sqref="I33">
    <cfRule type="cellIs" dxfId="25" priority="61" operator="greaterThanOrEqual">
      <formula>$E$33</formula>
    </cfRule>
    <cfRule type="cellIs" dxfId="24" priority="62" operator="lessThan">
      <formula>$E$33</formula>
    </cfRule>
  </conditionalFormatting>
  <conditionalFormatting sqref="I34">
    <cfRule type="cellIs" dxfId="23" priority="63" operator="lessThan">
      <formula>$E$34</formula>
    </cfRule>
    <cfRule type="cellIs" dxfId="22" priority="64" operator="greaterThanOrEqual">
      <formula>$E$34</formula>
    </cfRule>
  </conditionalFormatting>
  <printOptions gridLines="1"/>
  <pageMargins left="0.47244094488188981" right="0.31496062992125984" top="0.9055118110236221" bottom="0.98425196850393704" header="0.51181102362204722" footer="0.51181102362204722"/>
  <pageSetup paperSize="8" orientation="landscape" r:id="rId1"/>
  <headerFooter alignWithMargins="0">
    <oddHeader>&amp;L&amp;"-,Vet"&amp;9Watergerelateerde emissies vanuit rwzi's. Versie 2016. &amp;R&amp;"-,Vet"&amp;9Vereniging van Zuiveringbeheerders</oddHeader>
    <oddFooter>&amp;L&amp;"-,Standaard"&amp;8J. Baltussen
BACO-adviesbureau BV&amp;C&amp;"-,Standaard"&amp;9Pagina: &amp;P van &amp;N&amp;R&amp;8Datum: 26-02-2016</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0A3E6-55FD-4BB8-BF43-5A8B379E0525}">
  <dimension ref="A1:J3"/>
  <sheetViews>
    <sheetView workbookViewId="0"/>
  </sheetViews>
  <sheetFormatPr defaultColWidth="8.90625" defaultRowHeight="14.5" x14ac:dyDescent="0.35"/>
  <cols>
    <col min="1" max="16384" width="8.90625" style="143"/>
  </cols>
  <sheetData>
    <row r="1" spans="1:10" x14ac:dyDescent="0.35">
      <c r="A1" s="193" t="s">
        <v>555</v>
      </c>
      <c r="J1" s="193" t="s">
        <v>556</v>
      </c>
    </row>
    <row r="2" spans="1:10" x14ac:dyDescent="0.35">
      <c r="A2" s="143" t="s">
        <v>519</v>
      </c>
      <c r="J2" s="218" t="s">
        <v>498</v>
      </c>
    </row>
    <row r="3" spans="1:10" x14ac:dyDescent="0.35">
      <c r="J3" s="218" t="s">
        <v>520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66FF66"/>
  </sheetPr>
  <dimension ref="A1:K191"/>
  <sheetViews>
    <sheetView topLeftCell="A63" zoomScaleNormal="100" workbookViewId="0">
      <selection activeCell="K192" sqref="K192"/>
    </sheetView>
  </sheetViews>
  <sheetFormatPr defaultColWidth="8.90625" defaultRowHeight="13" x14ac:dyDescent="0.3"/>
  <cols>
    <col min="1" max="1" width="6.08984375" style="2" customWidth="1"/>
    <col min="2" max="2" width="69.08984375" style="3" customWidth="1"/>
    <col min="3" max="3" width="56" style="4" customWidth="1"/>
    <col min="4" max="4" width="23.6328125" style="1" customWidth="1"/>
    <col min="5" max="5" width="10.6328125" style="1" customWidth="1"/>
    <col min="6" max="6" width="15.453125" style="1" customWidth="1"/>
    <col min="7" max="7" width="17.453125" style="1" customWidth="1"/>
    <col min="8" max="8" width="12.6328125" style="1" customWidth="1"/>
    <col min="9" max="16384" width="8.90625" style="1"/>
  </cols>
  <sheetData>
    <row r="1" spans="1:7" ht="21" x14ac:dyDescent="0.5">
      <c r="A1" s="94" t="s">
        <v>367</v>
      </c>
    </row>
    <row r="2" spans="1:7" ht="14.5" x14ac:dyDescent="0.35">
      <c r="A2" s="222" t="s">
        <v>564</v>
      </c>
    </row>
    <row r="3" spans="1:7" ht="15.5" x14ac:dyDescent="0.35">
      <c r="A3" s="223" t="s">
        <v>514</v>
      </c>
      <c r="B3" s="224"/>
      <c r="C3" s="319" t="s">
        <v>554</v>
      </c>
    </row>
    <row r="4" spans="1:7" ht="15.5" x14ac:dyDescent="0.35">
      <c r="A4" s="222"/>
      <c r="C4" s="319"/>
    </row>
    <row r="6" spans="1:7" ht="21" x14ac:dyDescent="0.5">
      <c r="A6" s="94" t="s">
        <v>99</v>
      </c>
    </row>
    <row r="8" spans="1:7" ht="19" thickBot="1" x14ac:dyDescent="0.35">
      <c r="A8" s="107" t="s">
        <v>566</v>
      </c>
      <c r="B8" s="108"/>
      <c r="C8" s="109"/>
      <c r="D8" s="110"/>
      <c r="E8" s="110"/>
      <c r="F8" s="110"/>
      <c r="G8" s="110"/>
    </row>
    <row r="9" spans="1:7" s="15" customFormat="1" ht="15.75" customHeight="1" thickTop="1" x14ac:dyDescent="0.3">
      <c r="A9" s="91" t="s">
        <v>87</v>
      </c>
      <c r="B9" s="17"/>
      <c r="C9" s="17"/>
      <c r="D9" s="17"/>
      <c r="E9" s="88" t="s">
        <v>25</v>
      </c>
      <c r="F9" s="88" t="s">
        <v>26</v>
      </c>
      <c r="G9" s="30" t="s">
        <v>25</v>
      </c>
    </row>
    <row r="10" spans="1:7" ht="14.25" customHeight="1" x14ac:dyDescent="0.3">
      <c r="A10" s="73" t="s">
        <v>71</v>
      </c>
      <c r="B10" s="341" t="s">
        <v>33</v>
      </c>
      <c r="C10" s="341"/>
      <c r="D10" s="341"/>
      <c r="E10" s="72"/>
      <c r="F10" s="25" t="s">
        <v>27</v>
      </c>
      <c r="G10" s="279">
        <v>275000</v>
      </c>
    </row>
    <row r="11" spans="1:7" ht="14.25" customHeight="1" x14ac:dyDescent="0.3">
      <c r="A11" s="73"/>
      <c r="B11" s="324" t="s">
        <v>516</v>
      </c>
      <c r="C11" s="323"/>
      <c r="D11" s="323"/>
      <c r="E11" s="72"/>
      <c r="F11" s="25" t="s">
        <v>517</v>
      </c>
      <c r="G11" s="279">
        <v>5000</v>
      </c>
    </row>
    <row r="12" spans="1:7" ht="14.25" customHeight="1" x14ac:dyDescent="0.3">
      <c r="A12" s="73"/>
      <c r="B12" s="324" t="s">
        <v>531</v>
      </c>
      <c r="C12" s="323"/>
      <c r="D12" s="323"/>
      <c r="E12" s="72"/>
      <c r="F12" s="25" t="s">
        <v>532</v>
      </c>
      <c r="G12" s="279">
        <v>25000000</v>
      </c>
    </row>
    <row r="13" spans="1:7" ht="12.75" customHeight="1" x14ac:dyDescent="0.35">
      <c r="A13" s="76" t="s">
        <v>72</v>
      </c>
      <c r="B13" s="342" t="s">
        <v>76</v>
      </c>
      <c r="C13" s="342"/>
      <c r="D13" s="342"/>
      <c r="E13" s="72"/>
      <c r="G13" s="280"/>
    </row>
    <row r="14" spans="1:7" ht="12.75" customHeight="1" x14ac:dyDescent="0.3">
      <c r="A14" s="51" t="s">
        <v>73</v>
      </c>
      <c r="B14" s="340" t="s">
        <v>78</v>
      </c>
      <c r="C14" s="340"/>
      <c r="D14" s="340"/>
      <c r="E14" s="72"/>
      <c r="F14" s="25" t="s">
        <v>29</v>
      </c>
      <c r="G14" s="279">
        <v>14778120</v>
      </c>
    </row>
    <row r="15" spans="1:7" ht="42.65" customHeight="1" x14ac:dyDescent="0.3">
      <c r="A15" s="77" t="s">
        <v>74</v>
      </c>
      <c r="B15" s="340" t="s">
        <v>521</v>
      </c>
      <c r="C15" s="340"/>
      <c r="D15" s="340"/>
      <c r="E15" s="72"/>
      <c r="F15" s="25" t="s">
        <v>29</v>
      </c>
      <c r="G15" s="281">
        <v>100000</v>
      </c>
    </row>
    <row r="16" spans="1:7" ht="52" x14ac:dyDescent="0.3">
      <c r="A16" s="77"/>
      <c r="B16" s="72" t="s">
        <v>382</v>
      </c>
      <c r="C16" s="231">
        <v>500</v>
      </c>
      <c r="D16" s="82" t="s">
        <v>218</v>
      </c>
      <c r="E16" s="232">
        <v>0.2</v>
      </c>
      <c r="F16" s="25" t="s">
        <v>29</v>
      </c>
      <c r="G16" s="282">
        <f>(1-E16)*D50*C16*1000</f>
        <v>559999.99999999988</v>
      </c>
    </row>
    <row r="17" spans="1:7" ht="45" customHeight="1" x14ac:dyDescent="0.3">
      <c r="A17" s="77" t="s">
        <v>75</v>
      </c>
      <c r="B17" s="340" t="s">
        <v>522</v>
      </c>
      <c r="C17" s="340"/>
      <c r="D17" s="340"/>
      <c r="E17" s="72"/>
      <c r="F17" s="25" t="s">
        <v>29</v>
      </c>
      <c r="G17" s="279">
        <v>25000</v>
      </c>
    </row>
    <row r="18" spans="1:7" ht="39" x14ac:dyDescent="0.3">
      <c r="A18" s="117"/>
      <c r="B18" s="72" t="s">
        <v>227</v>
      </c>
      <c r="C18" s="284">
        <v>10</v>
      </c>
      <c r="D18" s="82" t="s">
        <v>218</v>
      </c>
      <c r="E18" s="285">
        <v>0.25</v>
      </c>
      <c r="F18" s="25" t="s">
        <v>29</v>
      </c>
      <c r="G18" s="282">
        <f>(1-E18)*D50*C18*1000</f>
        <v>10499.999999999998</v>
      </c>
    </row>
    <row r="19" spans="1:7" ht="52" x14ac:dyDescent="0.3">
      <c r="A19" s="117" t="s">
        <v>77</v>
      </c>
      <c r="B19" s="72" t="s">
        <v>181</v>
      </c>
      <c r="C19" s="314">
        <v>0</v>
      </c>
      <c r="D19" s="82" t="s">
        <v>89</v>
      </c>
      <c r="E19" s="286">
        <v>1.5</v>
      </c>
      <c r="F19" s="25" t="s">
        <v>29</v>
      </c>
      <c r="G19" s="283">
        <f>E19*C19</f>
        <v>0</v>
      </c>
    </row>
    <row r="20" spans="1:7" ht="14.5" x14ac:dyDescent="0.3">
      <c r="A20" s="117" t="s">
        <v>79</v>
      </c>
      <c r="B20" s="340" t="s">
        <v>296</v>
      </c>
      <c r="C20" s="340"/>
      <c r="D20" s="340"/>
      <c r="E20" s="74"/>
      <c r="F20" s="25" t="s">
        <v>29</v>
      </c>
      <c r="G20" s="279">
        <v>894615</v>
      </c>
    </row>
    <row r="21" spans="1:7" ht="15.5" x14ac:dyDescent="0.3">
      <c r="A21" s="343" t="s">
        <v>86</v>
      </c>
      <c r="B21" s="344"/>
      <c r="C21" s="344"/>
      <c r="D21" s="344"/>
      <c r="E21" s="344"/>
      <c r="F21" s="25" t="s">
        <v>29</v>
      </c>
      <c r="G21" s="282">
        <f>SUM(G14:G19)</f>
        <v>15473620</v>
      </c>
    </row>
    <row r="22" spans="1:7" ht="13.5" thickBot="1" x14ac:dyDescent="0.35">
      <c r="A22" s="78"/>
      <c r="B22" s="79"/>
      <c r="C22" s="79"/>
      <c r="D22" s="79"/>
      <c r="E22" s="79"/>
      <c r="F22" s="80"/>
      <c r="G22" s="81"/>
    </row>
    <row r="23" spans="1:7" ht="15.5" x14ac:dyDescent="0.3">
      <c r="A23" s="71" t="s">
        <v>88</v>
      </c>
      <c r="B23" s="82"/>
      <c r="C23" s="82"/>
      <c r="D23" s="82"/>
      <c r="E23" s="82"/>
      <c r="F23" s="90" t="s">
        <v>26</v>
      </c>
      <c r="G23" s="89" t="s">
        <v>25</v>
      </c>
    </row>
    <row r="24" spans="1:7" ht="30" customHeight="1" x14ac:dyDescent="0.3">
      <c r="A24" s="77" t="s">
        <v>80</v>
      </c>
      <c r="B24" s="340" t="s">
        <v>481</v>
      </c>
      <c r="C24" s="340"/>
      <c r="D24" s="340"/>
      <c r="E24" s="82"/>
      <c r="F24" s="25" t="s">
        <v>29</v>
      </c>
      <c r="G24" s="279">
        <v>531000</v>
      </c>
    </row>
    <row r="25" spans="1:7" ht="39" x14ac:dyDescent="0.3">
      <c r="A25" s="77"/>
      <c r="B25" s="72" t="s">
        <v>228</v>
      </c>
      <c r="C25" s="284">
        <v>1836</v>
      </c>
      <c r="D25" s="82" t="s">
        <v>218</v>
      </c>
      <c r="E25" s="285">
        <v>0.22550000000000001</v>
      </c>
      <c r="F25" s="25" t="s">
        <v>29</v>
      </c>
      <c r="G25" s="282">
        <f>(1-E25)*D50*C25*1000</f>
        <v>1990774.7999999996</v>
      </c>
    </row>
    <row r="26" spans="1:7" ht="15.5" x14ac:dyDescent="0.3">
      <c r="A26" s="343" t="s">
        <v>96</v>
      </c>
      <c r="B26" s="344"/>
      <c r="C26" s="344"/>
      <c r="D26" s="344"/>
      <c r="E26" s="344"/>
      <c r="F26" s="25" t="s">
        <v>29</v>
      </c>
      <c r="G26" s="282">
        <f>G24+G25</f>
        <v>2521774.7999999998</v>
      </c>
    </row>
    <row r="27" spans="1:7" ht="15.5" x14ac:dyDescent="0.3">
      <c r="A27" s="272"/>
      <c r="B27" s="99"/>
      <c r="C27" s="99"/>
      <c r="D27" s="99"/>
      <c r="E27" s="99"/>
      <c r="F27" s="25"/>
      <c r="G27" s="282"/>
    </row>
    <row r="28" spans="1:7" ht="14.5" x14ac:dyDescent="0.3">
      <c r="A28" s="77" t="s">
        <v>81</v>
      </c>
      <c r="B28" s="1" t="s">
        <v>526</v>
      </c>
      <c r="C28" s="325"/>
      <c r="D28" s="82"/>
      <c r="F28" s="25" t="s">
        <v>523</v>
      </c>
      <c r="G28" s="279">
        <v>4000000</v>
      </c>
    </row>
    <row r="29" spans="1:7" ht="14.5" x14ac:dyDescent="0.3">
      <c r="A29" s="77"/>
      <c r="B29" s="72" t="s">
        <v>525</v>
      </c>
      <c r="C29" s="325"/>
      <c r="D29" s="82"/>
      <c r="E29" s="326"/>
      <c r="F29" s="25" t="s">
        <v>293</v>
      </c>
      <c r="G29" s="287">
        <v>0.25</v>
      </c>
    </row>
    <row r="30" spans="1:7" ht="14.5" x14ac:dyDescent="0.3">
      <c r="A30" s="77"/>
      <c r="B30" s="1" t="s">
        <v>524</v>
      </c>
      <c r="C30" s="325"/>
      <c r="D30" s="82"/>
      <c r="E30" s="326"/>
      <c r="F30" s="25"/>
      <c r="G30" s="282">
        <f>(1-G29)*G28*D50</f>
        <v>4200000</v>
      </c>
    </row>
    <row r="31" spans="1:7" ht="42.75" customHeight="1" x14ac:dyDescent="0.3">
      <c r="A31" s="77" t="s">
        <v>480</v>
      </c>
      <c r="B31" s="72" t="s">
        <v>219</v>
      </c>
      <c r="C31" s="284">
        <v>5323</v>
      </c>
      <c r="D31" s="82" t="s">
        <v>218</v>
      </c>
      <c r="E31" s="285">
        <v>0.36520000000000002</v>
      </c>
      <c r="F31" s="25" t="s">
        <v>29</v>
      </c>
      <c r="G31" s="282">
        <f>(1-E31)*D50*C31*1000</f>
        <v>4730656.5599999996</v>
      </c>
    </row>
    <row r="32" spans="1:7" ht="13.5" thickBot="1" x14ac:dyDescent="0.35">
      <c r="A32" s="117"/>
      <c r="B32" s="82"/>
      <c r="C32" s="82"/>
      <c r="D32" s="82"/>
      <c r="E32" s="82"/>
      <c r="F32" s="25"/>
      <c r="G32" s="31"/>
    </row>
    <row r="33" spans="1:9" ht="32.25" customHeight="1" x14ac:dyDescent="0.3">
      <c r="A33" s="345" t="s">
        <v>509</v>
      </c>
      <c r="B33" s="346"/>
      <c r="C33" s="346"/>
      <c r="D33" s="346"/>
      <c r="E33" s="346"/>
      <c r="F33" s="92" t="s">
        <v>26</v>
      </c>
      <c r="G33" s="93" t="s">
        <v>25</v>
      </c>
    </row>
    <row r="34" spans="1:9" x14ac:dyDescent="0.3">
      <c r="A34" s="77" t="s">
        <v>82</v>
      </c>
      <c r="B34" s="340" t="s">
        <v>383</v>
      </c>
      <c r="C34" s="340"/>
      <c r="D34" s="340"/>
      <c r="E34" s="72"/>
      <c r="F34" s="25" t="s">
        <v>65</v>
      </c>
      <c r="G34" s="290">
        <v>3308290</v>
      </c>
    </row>
    <row r="35" spans="1:9" x14ac:dyDescent="0.3">
      <c r="A35" s="77" t="s">
        <v>83</v>
      </c>
      <c r="B35" s="340" t="s">
        <v>494</v>
      </c>
      <c r="C35" s="340"/>
      <c r="D35" s="340"/>
      <c r="E35" s="72"/>
      <c r="F35" s="25" t="s">
        <v>65</v>
      </c>
      <c r="G35" s="277">
        <v>105000</v>
      </c>
    </row>
    <row r="36" spans="1:9" x14ac:dyDescent="0.3">
      <c r="A36" s="77" t="s">
        <v>84</v>
      </c>
      <c r="B36" s="340" t="s">
        <v>577</v>
      </c>
      <c r="C36" s="340"/>
      <c r="D36" s="340"/>
      <c r="E36" s="72"/>
      <c r="F36" s="25" t="s">
        <v>65</v>
      </c>
      <c r="G36" s="277">
        <v>100</v>
      </c>
    </row>
    <row r="37" spans="1:9" ht="28.25" customHeight="1" x14ac:dyDescent="0.3">
      <c r="A37" s="77" t="s">
        <v>117</v>
      </c>
      <c r="B37" s="340" t="s">
        <v>578</v>
      </c>
      <c r="C37" s="340"/>
      <c r="D37" s="340"/>
      <c r="E37" s="72"/>
      <c r="F37" s="25" t="s">
        <v>65</v>
      </c>
      <c r="G37" s="277">
        <v>500000</v>
      </c>
    </row>
    <row r="38" spans="1:9" x14ac:dyDescent="0.3">
      <c r="A38" s="77" t="s">
        <v>85</v>
      </c>
      <c r="B38" s="340" t="s">
        <v>579</v>
      </c>
      <c r="C38" s="340"/>
      <c r="D38" s="340"/>
      <c r="E38" s="72"/>
      <c r="F38" s="25" t="s">
        <v>65</v>
      </c>
      <c r="G38" s="277">
        <v>100000</v>
      </c>
    </row>
    <row r="39" spans="1:9" ht="15.5" x14ac:dyDescent="0.3">
      <c r="A39" s="343" t="s">
        <v>297</v>
      </c>
      <c r="B39" s="344"/>
      <c r="C39" s="344"/>
      <c r="D39" s="344"/>
      <c r="E39" s="344"/>
      <c r="F39" s="25" t="s">
        <v>65</v>
      </c>
      <c r="G39" s="278">
        <f>G34+G35+G36+G37+G38</f>
        <v>4013390</v>
      </c>
    </row>
    <row r="40" spans="1:9" ht="27.65" customHeight="1" x14ac:dyDescent="0.3">
      <c r="A40" s="77" t="s">
        <v>94</v>
      </c>
      <c r="B40" s="340" t="s">
        <v>488</v>
      </c>
      <c r="C40" s="340"/>
      <c r="D40" s="340"/>
      <c r="E40" s="72"/>
      <c r="F40" s="25" t="s">
        <v>293</v>
      </c>
      <c r="G40" s="288">
        <v>0.62</v>
      </c>
    </row>
    <row r="41" spans="1:9" x14ac:dyDescent="0.3">
      <c r="A41" s="77" t="s">
        <v>162</v>
      </c>
      <c r="B41" s="340" t="s">
        <v>31</v>
      </c>
      <c r="C41" s="340"/>
      <c r="D41" s="340"/>
      <c r="E41" s="72"/>
      <c r="F41" s="25" t="s">
        <v>220</v>
      </c>
      <c r="G41" s="277">
        <v>5000</v>
      </c>
    </row>
    <row r="42" spans="1:9" x14ac:dyDescent="0.3">
      <c r="A42" s="77" t="s">
        <v>489</v>
      </c>
      <c r="B42" s="340" t="s">
        <v>529</v>
      </c>
      <c r="C42" s="340"/>
      <c r="D42" s="340"/>
      <c r="E42" s="72"/>
      <c r="F42" s="25" t="s">
        <v>30</v>
      </c>
      <c r="G42" s="277">
        <v>500</v>
      </c>
    </row>
    <row r="43" spans="1:9" x14ac:dyDescent="0.3">
      <c r="A43" s="77" t="s">
        <v>495</v>
      </c>
      <c r="B43" s="82" t="s">
        <v>496</v>
      </c>
      <c r="C43" s="82" t="s">
        <v>497</v>
      </c>
      <c r="D43" s="82"/>
      <c r="E43" s="72"/>
      <c r="F43" s="25" t="s">
        <v>508</v>
      </c>
      <c r="G43" s="289" t="s">
        <v>498</v>
      </c>
    </row>
    <row r="44" spans="1:9" ht="14.4" customHeight="1" x14ac:dyDescent="0.3">
      <c r="A44" s="77" t="s">
        <v>499</v>
      </c>
      <c r="B44" s="340" t="str">
        <f>IF(G43="ja","U heeft een CO2-vervloeiingsinstallatie. Geef de hoeveelheid vloeibare CO2 op die per as is afgevoerd.","U heeft geen CO2-vervloeiingsinstallatie. In cel G44 dient u '0' in te vullen.")</f>
        <v>U heeft een CO2-vervloeiingsinstallatie. Geef de hoeveelheid vloeibare CO2 op die per as is afgevoerd.</v>
      </c>
      <c r="C44" s="340"/>
      <c r="D44" s="340"/>
      <c r="E44" s="72"/>
      <c r="F44" s="25" t="s">
        <v>500</v>
      </c>
      <c r="G44" s="292">
        <v>2</v>
      </c>
    </row>
    <row r="45" spans="1:9" ht="14.4" customHeight="1" x14ac:dyDescent="0.3">
      <c r="A45" s="77" t="s">
        <v>504</v>
      </c>
      <c r="B45" s="340" t="str">
        <f>IF(G43="ja","U heeft een CO2-vervloeiingsinstallatie. In cel G45 wordt berekend hoeveel Nm3 biogas via de GGI-CVI-combinatie is verwerkt.","U heeft geen CO2-vervloeiingsinstallatie. Vul in cel G44 '0' in, als dat nog niet gebeurd is.")</f>
        <v>U heeft een CO2-vervloeiingsinstallatie. In cel G45 wordt berekend hoeveel Nm3 biogas via de GGI-CVI-combinatie is verwerkt.</v>
      </c>
      <c r="C45" s="340"/>
      <c r="D45" s="340"/>
      <c r="E45" s="72"/>
      <c r="F45" s="25" t="s">
        <v>505</v>
      </c>
      <c r="G45" s="292">
        <f>IF(G43="ja",G44*1000000/D57, 0)</f>
        <v>2679.4258373205739</v>
      </c>
      <c r="H45" s="293"/>
      <c r="I45" s="291"/>
    </row>
    <row r="46" spans="1:9" ht="13.5" thickBot="1" x14ac:dyDescent="0.35">
      <c r="A46" s="56"/>
      <c r="G46" s="59"/>
    </row>
    <row r="47" spans="1:9" ht="13.5" thickTop="1" x14ac:dyDescent="0.3">
      <c r="A47" s="126"/>
      <c r="B47" s="127"/>
      <c r="C47" s="127"/>
      <c r="D47" s="127"/>
      <c r="E47" s="127"/>
      <c r="F47" s="128"/>
      <c r="G47" s="129"/>
    </row>
    <row r="48" spans="1:9" ht="19" thickBot="1" x14ac:dyDescent="0.35">
      <c r="A48" s="107" t="s">
        <v>107</v>
      </c>
      <c r="B48" s="107"/>
      <c r="C48" s="107"/>
      <c r="D48" s="107"/>
      <c r="E48" s="120" t="s">
        <v>137</v>
      </c>
      <c r="F48" s="107"/>
      <c r="G48" s="107"/>
    </row>
    <row r="49" spans="1:8" ht="19" thickTop="1" x14ac:dyDescent="0.3">
      <c r="A49" s="85"/>
      <c r="B49" s="86" t="s">
        <v>98</v>
      </c>
      <c r="C49" s="86" t="s">
        <v>95</v>
      </c>
      <c r="D49" s="155" t="s">
        <v>25</v>
      </c>
      <c r="E49" s="158"/>
      <c r="G49" s="154"/>
    </row>
    <row r="50" spans="1:8" ht="15" customHeight="1" x14ac:dyDescent="0.3">
      <c r="A50" s="83"/>
      <c r="B50" s="82" t="s">
        <v>92</v>
      </c>
      <c r="C50" s="72" t="s">
        <v>93</v>
      </c>
      <c r="D50" s="156">
        <v>1.4</v>
      </c>
      <c r="E50" s="1" t="s">
        <v>184</v>
      </c>
      <c r="G50" s="54" t="s">
        <v>168</v>
      </c>
    </row>
    <row r="51" spans="1:8" x14ac:dyDescent="0.3">
      <c r="A51" s="53"/>
      <c r="B51" s="82" t="s">
        <v>90</v>
      </c>
      <c r="C51" s="72" t="s">
        <v>91</v>
      </c>
      <c r="D51" s="156">
        <v>1.2</v>
      </c>
      <c r="E51" s="1" t="s">
        <v>184</v>
      </c>
      <c r="G51" s="54" t="s">
        <v>168</v>
      </c>
    </row>
    <row r="52" spans="1:8" x14ac:dyDescent="0.3">
      <c r="A52" s="53"/>
      <c r="B52" s="82" t="s">
        <v>182</v>
      </c>
      <c r="C52" s="72" t="s">
        <v>183</v>
      </c>
      <c r="D52" s="174">
        <v>1.375</v>
      </c>
      <c r="E52" s="1" t="s">
        <v>184</v>
      </c>
      <c r="G52" s="54" t="s">
        <v>168</v>
      </c>
    </row>
    <row r="53" spans="1:8" x14ac:dyDescent="0.3">
      <c r="A53" s="53"/>
      <c r="B53" s="82" t="s">
        <v>101</v>
      </c>
      <c r="C53" s="72" t="s">
        <v>102</v>
      </c>
      <c r="D53" s="156">
        <v>4</v>
      </c>
      <c r="E53" s="1" t="s">
        <v>115</v>
      </c>
      <c r="G53" s="54" t="s">
        <v>168</v>
      </c>
    </row>
    <row r="54" spans="1:8" ht="27" customHeight="1" x14ac:dyDescent="0.3">
      <c r="A54" s="53"/>
      <c r="B54" s="82" t="s">
        <v>234</v>
      </c>
      <c r="C54" s="348" t="s">
        <v>332</v>
      </c>
      <c r="D54" s="349"/>
      <c r="E54" s="211" t="s">
        <v>306</v>
      </c>
      <c r="G54" s="54"/>
    </row>
    <row r="55" spans="1:8" x14ac:dyDescent="0.3">
      <c r="A55" s="53"/>
      <c r="B55" s="82" t="s">
        <v>104</v>
      </c>
      <c r="C55" s="72" t="s">
        <v>105</v>
      </c>
      <c r="D55" s="157">
        <v>2.75</v>
      </c>
      <c r="G55" s="159"/>
    </row>
    <row r="56" spans="1:8" ht="39" x14ac:dyDescent="0.35">
      <c r="A56" s="53"/>
      <c r="B56" s="82" t="s">
        <v>483</v>
      </c>
      <c r="C56" s="72" t="s">
        <v>138</v>
      </c>
      <c r="D56" s="294">
        <f>G40*1000/22.4*16</f>
        <v>442.85714285714289</v>
      </c>
      <c r="E56" s="211" t="s">
        <v>568</v>
      </c>
      <c r="G56" s="315" t="s">
        <v>168</v>
      </c>
      <c r="H56" s="203"/>
    </row>
    <row r="57" spans="1:8" x14ac:dyDescent="0.3">
      <c r="A57" s="53"/>
      <c r="B57" s="82"/>
      <c r="C57" s="72" t="s">
        <v>145</v>
      </c>
      <c r="D57" s="157">
        <f>(1-G40)*1000/22.4*44</f>
        <v>746.42857142857144</v>
      </c>
      <c r="E57" s="211" t="s">
        <v>568</v>
      </c>
      <c r="G57" s="54" t="s">
        <v>168</v>
      </c>
    </row>
    <row r="58" spans="1:8" x14ac:dyDescent="0.3">
      <c r="A58" s="53"/>
      <c r="B58" s="82" t="s">
        <v>100</v>
      </c>
      <c r="C58" s="72" t="s">
        <v>567</v>
      </c>
      <c r="D58" s="327">
        <v>3132</v>
      </c>
      <c r="E58" s="1" t="s">
        <v>487</v>
      </c>
      <c r="G58" s="54"/>
    </row>
    <row r="59" spans="1:8" x14ac:dyDescent="0.3">
      <c r="A59" s="53"/>
      <c r="B59" s="82"/>
      <c r="C59" s="72" t="s">
        <v>103</v>
      </c>
      <c r="D59" s="157">
        <v>0.84</v>
      </c>
      <c r="G59" s="54"/>
    </row>
    <row r="60" spans="1:8" ht="26.5" thickBot="1" x14ac:dyDescent="0.35">
      <c r="A60" s="56"/>
      <c r="B60" s="84" t="s">
        <v>97</v>
      </c>
      <c r="C60" s="153" t="s">
        <v>571</v>
      </c>
      <c r="D60" s="332">
        <v>1778.73</v>
      </c>
      <c r="E60" s="333" t="s">
        <v>487</v>
      </c>
      <c r="F60" s="58"/>
      <c r="G60" s="59"/>
    </row>
    <row r="61" spans="1:8" ht="13.5" thickTop="1" x14ac:dyDescent="0.3">
      <c r="B61" s="82"/>
      <c r="C61" s="72"/>
    </row>
    <row r="62" spans="1:8" ht="19" thickBot="1" x14ac:dyDescent="0.35">
      <c r="A62" s="107" t="s">
        <v>43</v>
      </c>
      <c r="B62" s="107"/>
      <c r="C62" s="107"/>
      <c r="D62" s="107"/>
      <c r="E62" s="107"/>
      <c r="F62" s="107"/>
      <c r="G62" s="107"/>
    </row>
    <row r="63" spans="1:8" ht="45.75" customHeight="1" thickTop="1" thickBot="1" x14ac:dyDescent="0.35">
      <c r="A63" s="48"/>
      <c r="B63" s="17"/>
      <c r="C63" s="347"/>
      <c r="D63" s="347"/>
      <c r="E63" s="49" t="s">
        <v>380</v>
      </c>
      <c r="F63" s="49" t="s">
        <v>45</v>
      </c>
      <c r="G63" s="50" t="s">
        <v>233</v>
      </c>
    </row>
    <row r="64" spans="1:8" x14ac:dyDescent="0.3">
      <c r="A64" s="111" t="s">
        <v>229</v>
      </c>
      <c r="B64" s="112"/>
      <c r="C64" s="113"/>
      <c r="D64" s="113"/>
      <c r="E64" s="113"/>
      <c r="F64" s="113"/>
      <c r="G64" s="114"/>
    </row>
    <row r="65" spans="1:8" x14ac:dyDescent="0.3">
      <c r="A65" s="105" t="s">
        <v>40</v>
      </c>
      <c r="B65" s="5"/>
      <c r="C65" s="61" t="s">
        <v>26</v>
      </c>
      <c r="D65" s="61" t="s">
        <v>25</v>
      </c>
      <c r="E65" s="7"/>
      <c r="F65" s="7"/>
      <c r="G65" s="18"/>
    </row>
    <row r="66" spans="1:8" ht="12.75" customHeight="1" x14ac:dyDescent="0.4">
      <c r="A66" s="51"/>
      <c r="B66" s="2" t="s">
        <v>38</v>
      </c>
      <c r="C66" s="24" t="s">
        <v>513</v>
      </c>
      <c r="D66" s="24">
        <v>7.5</v>
      </c>
      <c r="F66" s="16"/>
      <c r="G66" s="19"/>
      <c r="H66" s="38"/>
    </row>
    <row r="67" spans="1:8" ht="12.75" customHeight="1" x14ac:dyDescent="0.3">
      <c r="A67" s="27"/>
      <c r="B67" s="2" t="s">
        <v>484</v>
      </c>
      <c r="C67" s="24" t="s">
        <v>485</v>
      </c>
      <c r="D67" s="24">
        <v>2</v>
      </c>
      <c r="F67" s="23"/>
      <c r="G67" s="19"/>
    </row>
    <row r="68" spans="1:8" ht="12.75" customHeight="1" x14ac:dyDescent="0.3">
      <c r="A68" s="27"/>
      <c r="B68" s="2" t="s">
        <v>39</v>
      </c>
      <c r="C68" s="24" t="s">
        <v>139</v>
      </c>
      <c r="D68" s="24">
        <v>9.36</v>
      </c>
      <c r="F68" s="16"/>
      <c r="G68" s="19"/>
    </row>
    <row r="69" spans="1:8" ht="12.75" customHeight="1" x14ac:dyDescent="0.3">
      <c r="A69" s="27"/>
      <c r="B69" s="2" t="s">
        <v>63</v>
      </c>
      <c r="C69" s="24" t="s">
        <v>140</v>
      </c>
      <c r="D69" s="24">
        <v>7.48</v>
      </c>
      <c r="F69" s="16"/>
      <c r="G69" s="19"/>
    </row>
    <row r="70" spans="1:8" ht="12.75" customHeight="1" x14ac:dyDescent="0.3">
      <c r="A70" s="27"/>
      <c r="B70" s="2" t="s">
        <v>146</v>
      </c>
      <c r="C70" s="24" t="s">
        <v>141</v>
      </c>
      <c r="D70" s="302">
        <f>D56</f>
        <v>442.85714285714289</v>
      </c>
      <c r="F70" s="16"/>
      <c r="G70" s="19"/>
    </row>
    <row r="71" spans="1:8" ht="12.75" customHeight="1" x14ac:dyDescent="0.3">
      <c r="A71" s="27"/>
      <c r="B71" s="2" t="s">
        <v>207</v>
      </c>
      <c r="C71" s="24" t="s">
        <v>262</v>
      </c>
      <c r="D71" s="301">
        <f>0.00949*31.65</f>
        <v>0.30035849999999997</v>
      </c>
      <c r="F71" s="16"/>
      <c r="G71" s="19"/>
    </row>
    <row r="72" spans="1:8" ht="12.75" customHeight="1" x14ac:dyDescent="0.3">
      <c r="A72" s="27"/>
      <c r="B72" s="2"/>
      <c r="C72" s="24" t="s">
        <v>263</v>
      </c>
      <c r="D72" s="301">
        <f>D71*0.6</f>
        <v>0.18021509999999999</v>
      </c>
      <c r="E72" s="192" t="s">
        <v>548</v>
      </c>
      <c r="F72" s="16"/>
      <c r="G72" s="19"/>
    </row>
    <row r="73" spans="1:8" ht="12.75" customHeight="1" x14ac:dyDescent="0.3">
      <c r="A73" s="27"/>
      <c r="B73" s="2" t="s">
        <v>208</v>
      </c>
      <c r="C73" s="24" t="s">
        <v>210</v>
      </c>
      <c r="D73" s="303">
        <v>5.38</v>
      </c>
      <c r="F73" s="16"/>
      <c r="G73" s="19"/>
    </row>
    <row r="74" spans="1:8" ht="12.75" customHeight="1" x14ac:dyDescent="0.3">
      <c r="A74" s="27"/>
      <c r="B74" s="2"/>
      <c r="C74" s="24" t="s">
        <v>209</v>
      </c>
      <c r="D74" s="301">
        <f>D73*0.04</f>
        <v>0.2152</v>
      </c>
      <c r="F74" s="16"/>
      <c r="G74" s="19"/>
    </row>
    <row r="75" spans="1:8" ht="12.75" customHeight="1" x14ac:dyDescent="0.3">
      <c r="A75" s="27"/>
      <c r="B75" s="2" t="s">
        <v>503</v>
      </c>
      <c r="C75" s="24" t="s">
        <v>502</v>
      </c>
      <c r="D75" s="301">
        <f>0.01*D56</f>
        <v>4.4285714285714288</v>
      </c>
      <c r="F75" s="16"/>
      <c r="G75" s="19"/>
    </row>
    <row r="76" spans="1:8" ht="12.75" customHeight="1" x14ac:dyDescent="0.3">
      <c r="A76" s="27"/>
      <c r="B76" s="2" t="s">
        <v>506</v>
      </c>
      <c r="C76" s="24" t="s">
        <v>515</v>
      </c>
      <c r="D76" s="301">
        <f>0.0001*D56</f>
        <v>4.4285714285714289E-2</v>
      </c>
      <c r="F76" s="16"/>
      <c r="G76" s="19"/>
    </row>
    <row r="77" spans="1:8" ht="12.75" customHeight="1" x14ac:dyDescent="0.3">
      <c r="A77" s="27"/>
      <c r="B77" s="38"/>
      <c r="C77" s="37"/>
      <c r="E77" s="23"/>
      <c r="F77" s="16"/>
      <c r="G77" s="19"/>
    </row>
    <row r="78" spans="1:8" ht="12.75" customHeight="1" x14ac:dyDescent="0.3">
      <c r="A78" s="105" t="s">
        <v>41</v>
      </c>
      <c r="B78" s="38"/>
      <c r="C78" s="61" t="s">
        <v>26</v>
      </c>
      <c r="D78" s="61" t="s">
        <v>44</v>
      </c>
      <c r="E78" s="23"/>
      <c r="F78" s="16"/>
      <c r="G78" s="19"/>
    </row>
    <row r="79" spans="1:8" ht="12.75" customHeight="1" x14ac:dyDescent="0.3">
      <c r="A79" s="105"/>
      <c r="B79" s="69" t="s">
        <v>217</v>
      </c>
      <c r="C79" s="61"/>
      <c r="D79" s="61"/>
      <c r="E79" s="23"/>
      <c r="F79" s="16"/>
      <c r="G79" s="19"/>
    </row>
    <row r="80" spans="1:8" ht="12.75" customHeight="1" x14ac:dyDescent="0.3">
      <c r="A80" s="105"/>
      <c r="B80" s="2" t="s">
        <v>215</v>
      </c>
      <c r="C80" s="24" t="s">
        <v>486</v>
      </c>
      <c r="D80" s="309">
        <f>D71*G41/1000</f>
        <v>1.5017924999999999</v>
      </c>
      <c r="E80" s="23"/>
      <c r="F80" s="16"/>
      <c r="G80" s="19"/>
    </row>
    <row r="81" spans="1:7" ht="12.75" customHeight="1" x14ac:dyDescent="0.3">
      <c r="A81" s="105"/>
      <c r="B81" s="2" t="s">
        <v>216</v>
      </c>
      <c r="C81" s="24" t="s">
        <v>486</v>
      </c>
      <c r="D81" s="310">
        <f>D73*G42/1000</f>
        <v>2.69</v>
      </c>
      <c r="E81" s="23"/>
      <c r="F81" s="16"/>
      <c r="G81" s="19"/>
    </row>
    <row r="82" spans="1:7" ht="12.75" customHeight="1" x14ac:dyDescent="0.3">
      <c r="A82" s="105"/>
      <c r="B82" s="2"/>
      <c r="C82" s="24"/>
      <c r="D82" s="61"/>
      <c r="E82" s="23"/>
      <c r="F82" s="16"/>
      <c r="G82" s="19"/>
    </row>
    <row r="83" spans="1:7" ht="12.75" customHeight="1" x14ac:dyDescent="0.3">
      <c r="A83" s="105"/>
      <c r="B83" s="69" t="s">
        <v>214</v>
      </c>
      <c r="C83" s="24"/>
      <c r="D83" s="61"/>
      <c r="E83" s="23"/>
      <c r="F83" s="16"/>
      <c r="G83" s="19"/>
    </row>
    <row r="84" spans="1:7" ht="12.75" customHeight="1" x14ac:dyDescent="0.3">
      <c r="A84" s="27"/>
      <c r="B84" s="2" t="s">
        <v>34</v>
      </c>
      <c r="C84" s="303" t="s">
        <v>52</v>
      </c>
      <c r="D84" s="164">
        <f>D66*(G21-'Balans CO2 CZV'!K89)/1000</f>
        <v>49992.233588594449</v>
      </c>
      <c r="F84" s="16"/>
      <c r="G84" s="19"/>
    </row>
    <row r="85" spans="1:7" ht="12.75" customHeight="1" x14ac:dyDescent="0.3">
      <c r="A85" s="27"/>
      <c r="B85" s="2" t="s">
        <v>35</v>
      </c>
      <c r="C85" s="303" t="s">
        <v>52</v>
      </c>
      <c r="D85" s="164">
        <f>D67*G28/1000</f>
        <v>8000</v>
      </c>
      <c r="F85" s="16"/>
      <c r="G85" s="19"/>
    </row>
    <row r="86" spans="1:7" ht="12.75" customHeight="1" x14ac:dyDescent="0.3">
      <c r="A86" s="27"/>
      <c r="B86" s="2" t="s">
        <v>36</v>
      </c>
      <c r="C86" s="303" t="s">
        <v>52</v>
      </c>
      <c r="D86" s="164">
        <f>D68*G34/1000</f>
        <v>30965.594399999998</v>
      </c>
      <c r="F86" s="16"/>
      <c r="G86" s="19"/>
    </row>
    <row r="87" spans="1:7" ht="12.75" customHeight="1" x14ac:dyDescent="0.3">
      <c r="A87" s="27"/>
      <c r="B87" s="2" t="s">
        <v>37</v>
      </c>
      <c r="C87" s="303" t="s">
        <v>52</v>
      </c>
      <c r="D87" s="165">
        <f>D69*G35/1000</f>
        <v>785.4</v>
      </c>
      <c r="F87" s="16"/>
      <c r="G87" s="19"/>
    </row>
    <row r="88" spans="1:7" ht="12.75" customHeight="1" x14ac:dyDescent="0.3">
      <c r="A88" s="27"/>
      <c r="B88" s="2" t="s">
        <v>108</v>
      </c>
      <c r="C88" s="303" t="s">
        <v>52</v>
      </c>
      <c r="D88" s="164">
        <f>D70*G36/1000</f>
        <v>44.285714285714292</v>
      </c>
      <c r="F88" s="16"/>
      <c r="G88" s="19"/>
    </row>
    <row r="89" spans="1:7" ht="12.75" customHeight="1" x14ac:dyDescent="0.3">
      <c r="A89" s="27"/>
      <c r="B89" s="2" t="s">
        <v>550</v>
      </c>
      <c r="C89" s="303" t="s">
        <v>52</v>
      </c>
      <c r="D89" s="164">
        <f>(G37-G45)*D75/1000</f>
        <v>2202.4196855775808</v>
      </c>
      <c r="F89" s="16"/>
      <c r="G89" s="19"/>
    </row>
    <row r="90" spans="1:7" ht="12.75" customHeight="1" x14ac:dyDescent="0.3">
      <c r="A90" s="27"/>
      <c r="B90" s="2" t="s">
        <v>507</v>
      </c>
      <c r="C90" s="303" t="s">
        <v>52</v>
      </c>
      <c r="D90" s="164">
        <f>G45*D76/1000</f>
        <v>0.11866028708133972</v>
      </c>
      <c r="F90" s="16"/>
      <c r="G90" s="19"/>
    </row>
    <row r="91" spans="1:7" ht="12.75" customHeight="1" x14ac:dyDescent="0.3">
      <c r="A91" s="27"/>
      <c r="B91" s="2" t="s">
        <v>211</v>
      </c>
      <c r="C91" s="303" t="s">
        <v>52</v>
      </c>
      <c r="D91" s="311">
        <f>D72*G41/1000</f>
        <v>0.90107549999999992</v>
      </c>
      <c r="F91" s="16"/>
      <c r="G91" s="19"/>
    </row>
    <row r="92" spans="1:7" ht="12.75" customHeight="1" thickBot="1" x14ac:dyDescent="0.35">
      <c r="A92" s="27"/>
      <c r="B92" s="2" t="s">
        <v>212</v>
      </c>
      <c r="C92" s="303" t="s">
        <v>52</v>
      </c>
      <c r="D92" s="311">
        <f>G42*D74/1000</f>
        <v>0.1076</v>
      </c>
      <c r="F92" s="16"/>
      <c r="G92" s="19"/>
    </row>
    <row r="93" spans="1:7" ht="12.75" customHeight="1" x14ac:dyDescent="0.3">
      <c r="A93" s="27"/>
      <c r="B93" s="298" t="s">
        <v>510</v>
      </c>
      <c r="C93" s="299" t="s">
        <v>52</v>
      </c>
      <c r="D93" s="300">
        <f>SUM(D84:D92)</f>
        <v>91991.060724244831</v>
      </c>
      <c r="E93" s="62">
        <v>100000</v>
      </c>
      <c r="F93" s="63" t="str">
        <f>IF(D93&lt;E93,"nee","ja")</f>
        <v>nee</v>
      </c>
      <c r="G93" s="64">
        <f>IF(F93="ja",D93,)</f>
        <v>0</v>
      </c>
    </row>
    <row r="94" spans="1:7" ht="12.75" customHeight="1" x14ac:dyDescent="0.3">
      <c r="A94" s="27"/>
      <c r="B94" s="8"/>
      <c r="C94" s="39"/>
      <c r="D94" s="175"/>
      <c r="E94" s="16"/>
      <c r="F94" s="41"/>
      <c r="G94" s="34"/>
    </row>
    <row r="95" spans="1:7" ht="12.75" customHeight="1" x14ac:dyDescent="0.3">
      <c r="A95" s="105" t="s">
        <v>147</v>
      </c>
      <c r="B95" s="12"/>
      <c r="C95" s="1"/>
      <c r="D95" s="12"/>
      <c r="E95" s="16"/>
      <c r="F95" s="124"/>
      <c r="G95" s="20"/>
    </row>
    <row r="96" spans="1:7" ht="12.75" customHeight="1" x14ac:dyDescent="0.3">
      <c r="A96" s="27"/>
      <c r="B96" s="67" t="s">
        <v>61</v>
      </c>
      <c r="C96" s="61"/>
      <c r="D96" s="87">
        <f>D84+D85+D88+D89+D90</f>
        <v>60239.057648744827</v>
      </c>
      <c r="E96" s="62"/>
      <c r="F96" s="66"/>
      <c r="G96" s="64">
        <f>IF(F93="nee",,D96)</f>
        <v>0</v>
      </c>
    </row>
    <row r="97" spans="1:7" ht="12.75" customHeight="1" x14ac:dyDescent="0.3">
      <c r="A97" s="27"/>
      <c r="B97" s="67" t="s">
        <v>62</v>
      </c>
      <c r="C97" s="61"/>
      <c r="D97" s="87">
        <f>D86+D87+D91+D92</f>
        <v>31752.003075500001</v>
      </c>
      <c r="E97" s="62"/>
      <c r="F97" s="66"/>
      <c r="G97" s="64">
        <f>IF(F93="nee",,D97)</f>
        <v>0</v>
      </c>
    </row>
    <row r="98" spans="1:7" ht="12.75" customHeight="1" thickBot="1" x14ac:dyDescent="0.35">
      <c r="A98" s="27"/>
      <c r="B98" s="36"/>
      <c r="C98" s="9"/>
      <c r="D98" s="36"/>
      <c r="E98" s="16"/>
      <c r="F98" s="41"/>
      <c r="G98" s="20"/>
    </row>
    <row r="99" spans="1:7" ht="12.75" customHeight="1" x14ac:dyDescent="0.3">
      <c r="A99" s="111" t="s">
        <v>46</v>
      </c>
      <c r="B99" s="112"/>
      <c r="C99" s="113"/>
      <c r="D99" s="113"/>
      <c r="E99" s="214" t="s">
        <v>137</v>
      </c>
      <c r="F99" s="113"/>
      <c r="G99" s="114"/>
    </row>
    <row r="100" spans="1:7" ht="12.75" customHeight="1" x14ac:dyDescent="0.3">
      <c r="A100" s="105" t="s">
        <v>47</v>
      </c>
      <c r="B100" s="5"/>
      <c r="C100" s="61" t="s">
        <v>26</v>
      </c>
      <c r="D100" s="61" t="s">
        <v>25</v>
      </c>
      <c r="E100" s="16"/>
      <c r="F100" s="41"/>
      <c r="G100" s="20"/>
    </row>
    <row r="101" spans="1:7" ht="12.75" customHeight="1" x14ac:dyDescent="0.3">
      <c r="A101" s="27"/>
      <c r="B101" s="2" t="s">
        <v>39</v>
      </c>
      <c r="C101" s="24" t="s">
        <v>142</v>
      </c>
      <c r="D101" s="24">
        <v>6.57</v>
      </c>
      <c r="G101" s="54"/>
    </row>
    <row r="102" spans="1:7" ht="12.75" customHeight="1" x14ac:dyDescent="0.3">
      <c r="A102" s="27"/>
      <c r="B102" s="2" t="s">
        <v>213</v>
      </c>
      <c r="C102" s="24" t="s">
        <v>204</v>
      </c>
      <c r="D102" s="24">
        <v>1.58</v>
      </c>
      <c r="E102" s="276" t="s">
        <v>527</v>
      </c>
      <c r="F102" s="41"/>
      <c r="G102" s="20"/>
    </row>
    <row r="103" spans="1:7" ht="12.75" customHeight="1" x14ac:dyDescent="0.3">
      <c r="A103" s="27"/>
      <c r="B103" s="2" t="s">
        <v>63</v>
      </c>
      <c r="C103" s="24" t="s">
        <v>142</v>
      </c>
      <c r="D103" s="24">
        <v>6.57</v>
      </c>
      <c r="G103" s="54"/>
    </row>
    <row r="104" spans="1:7" ht="12.75" customHeight="1" x14ac:dyDescent="0.3">
      <c r="A104" s="27"/>
      <c r="B104" s="2" t="s">
        <v>169</v>
      </c>
      <c r="C104" s="24" t="s">
        <v>170</v>
      </c>
      <c r="D104" s="24">
        <v>5.38</v>
      </c>
      <c r="E104" s="276" t="s">
        <v>528</v>
      </c>
      <c r="F104" s="41"/>
      <c r="G104" s="20"/>
    </row>
    <row r="105" spans="1:7" ht="12.75" customHeight="1" x14ac:dyDescent="0.3">
      <c r="A105" s="27"/>
      <c r="B105" s="38"/>
      <c r="C105" s="24"/>
      <c r="D105" s="312"/>
      <c r="E105" s="16"/>
      <c r="F105" s="41"/>
      <c r="G105" s="20"/>
    </row>
    <row r="106" spans="1:7" ht="12.75" customHeight="1" x14ac:dyDescent="0.3">
      <c r="A106" s="105" t="s">
        <v>64</v>
      </c>
      <c r="B106" s="38"/>
      <c r="C106" s="61" t="s">
        <v>26</v>
      </c>
      <c r="D106" s="61" t="s">
        <v>44</v>
      </c>
      <c r="E106" s="16"/>
      <c r="F106" s="41"/>
      <c r="G106" s="20"/>
    </row>
    <row r="107" spans="1:7" ht="12.75" customHeight="1" x14ac:dyDescent="0.3">
      <c r="A107" s="27"/>
      <c r="B107" s="2" t="s">
        <v>179</v>
      </c>
      <c r="C107" s="24" t="s">
        <v>51</v>
      </c>
      <c r="D107" s="164">
        <f>D101*G34/1000</f>
        <v>21735.4653</v>
      </c>
      <c r="E107" s="16"/>
      <c r="F107" s="41"/>
      <c r="G107" s="20"/>
    </row>
    <row r="108" spans="1:7" ht="12.75" customHeight="1" x14ac:dyDescent="0.3">
      <c r="A108" s="27"/>
      <c r="B108" s="2" t="s">
        <v>180</v>
      </c>
      <c r="C108" s="24" t="s">
        <v>51</v>
      </c>
      <c r="D108" s="164">
        <f>D103*G35/1000</f>
        <v>689.85</v>
      </c>
      <c r="E108" s="16"/>
      <c r="F108" s="41"/>
      <c r="G108" s="20"/>
    </row>
    <row r="109" spans="1:7" ht="12.75" customHeight="1" x14ac:dyDescent="0.3">
      <c r="A109" s="27"/>
      <c r="B109" s="2" t="s">
        <v>205</v>
      </c>
      <c r="C109" s="24" t="s">
        <v>51</v>
      </c>
      <c r="D109" s="233">
        <f>D102*G41/1000</f>
        <v>7.9</v>
      </c>
      <c r="E109" s="16"/>
      <c r="F109" s="41"/>
      <c r="G109" s="20"/>
    </row>
    <row r="110" spans="1:7" ht="12.75" customHeight="1" x14ac:dyDescent="0.3">
      <c r="A110" s="27"/>
      <c r="B110" s="2" t="s">
        <v>172</v>
      </c>
      <c r="C110" s="24" t="s">
        <v>51</v>
      </c>
      <c r="D110" s="165">
        <f>G42*D104/1000</f>
        <v>2.69</v>
      </c>
      <c r="E110" s="16"/>
      <c r="F110" s="41"/>
      <c r="G110" s="20"/>
    </row>
    <row r="111" spans="1:7" ht="12.75" customHeight="1" x14ac:dyDescent="0.3">
      <c r="A111" s="27"/>
      <c r="B111" s="60" t="s">
        <v>42</v>
      </c>
      <c r="C111" s="61" t="s">
        <v>51</v>
      </c>
      <c r="D111" s="62">
        <f>SUM(D107:D110)</f>
        <v>22435.905299999999</v>
      </c>
      <c r="E111" s="62">
        <v>10000</v>
      </c>
      <c r="F111" s="63" t="str">
        <f>IF(D111&lt;E111,"nee","ja")</f>
        <v>ja</v>
      </c>
      <c r="G111" s="64">
        <f>IF(F111="nee",,D111)</f>
        <v>22435.905299999999</v>
      </c>
    </row>
    <row r="112" spans="1:7" ht="12.75" customHeight="1" thickBot="1" x14ac:dyDescent="0.35">
      <c r="A112" s="28"/>
      <c r="B112" s="32"/>
      <c r="C112" s="35"/>
      <c r="D112" s="42"/>
      <c r="E112" s="42"/>
      <c r="F112" s="43"/>
      <c r="G112" s="29"/>
    </row>
    <row r="113" spans="1:11" ht="12.75" customHeight="1" x14ac:dyDescent="0.3">
      <c r="A113" s="111" t="s">
        <v>114</v>
      </c>
      <c r="B113" s="112"/>
      <c r="C113" s="113"/>
      <c r="D113" s="113"/>
      <c r="E113" s="113"/>
      <c r="F113" s="113"/>
      <c r="G113" s="114"/>
      <c r="K113" s="106"/>
    </row>
    <row r="114" spans="1:11" ht="12.75" customHeight="1" x14ac:dyDescent="0.3">
      <c r="A114" s="53"/>
      <c r="C114" s="61" t="s">
        <v>26</v>
      </c>
      <c r="D114" s="61" t="s">
        <v>44</v>
      </c>
      <c r="G114" s="54"/>
      <c r="K114" s="106"/>
    </row>
    <row r="115" spans="1:11" ht="12.75" customHeight="1" x14ac:dyDescent="0.3">
      <c r="A115" s="105" t="s">
        <v>346</v>
      </c>
      <c r="B115" s="100"/>
      <c r="C115" s="101"/>
      <c r="D115" s="95"/>
      <c r="G115" s="54"/>
      <c r="K115" s="106"/>
    </row>
    <row r="116" spans="1:11" ht="12.75" customHeight="1" x14ac:dyDescent="0.4">
      <c r="A116" s="105" t="s">
        <v>343</v>
      </c>
      <c r="B116" s="5"/>
      <c r="C116" s="6"/>
      <c r="D116" s="104"/>
      <c r="G116" s="54"/>
      <c r="K116" s="106"/>
    </row>
    <row r="117" spans="1:11" ht="27.65" customHeight="1" x14ac:dyDescent="0.3">
      <c r="A117" s="105"/>
      <c r="B117" s="82" t="s">
        <v>317</v>
      </c>
      <c r="C117" s="101" t="s">
        <v>113</v>
      </c>
      <c r="D117" s="334">
        <f>'Balans CO2 CZV'!C23</f>
        <v>6925219.3741751127</v>
      </c>
      <c r="G117" s="54"/>
      <c r="K117" s="106"/>
    </row>
    <row r="118" spans="1:11" ht="26" x14ac:dyDescent="0.3">
      <c r="A118" s="105"/>
      <c r="B118" s="82" t="s">
        <v>345</v>
      </c>
      <c r="C118" s="101"/>
      <c r="D118" s="95"/>
      <c r="G118" s="54"/>
      <c r="K118" s="106"/>
    </row>
    <row r="119" spans="1:11" ht="39" x14ac:dyDescent="0.3">
      <c r="A119" s="105"/>
      <c r="B119" s="308" t="s">
        <v>580</v>
      </c>
      <c r="C119" s="101" t="s">
        <v>113</v>
      </c>
      <c r="D119" s="334">
        <f>G34*(D57+D55*(D56-D68))/1000</f>
        <v>6413271.4011142869</v>
      </c>
      <c r="G119" s="54"/>
      <c r="K119" s="106"/>
    </row>
    <row r="120" spans="1:11" ht="39" x14ac:dyDescent="0.3">
      <c r="A120" s="105"/>
      <c r="B120" s="308" t="s">
        <v>341</v>
      </c>
      <c r="C120" s="101" t="s">
        <v>113</v>
      </c>
      <c r="D120" s="334">
        <f>G35*(D57+D55*(D56-D69))/1000</f>
        <v>204090.15000000002</v>
      </c>
      <c r="G120" s="54"/>
      <c r="K120" s="106"/>
    </row>
    <row r="121" spans="1:11" x14ac:dyDescent="0.3">
      <c r="A121" s="105"/>
      <c r="B121" s="308" t="s">
        <v>342</v>
      </c>
      <c r="C121" s="101" t="s">
        <v>113</v>
      </c>
      <c r="D121" s="95">
        <f>G36*D57/1000</f>
        <v>74.642857142857139</v>
      </c>
      <c r="G121" s="54"/>
      <c r="K121" s="106"/>
    </row>
    <row r="122" spans="1:11" x14ac:dyDescent="0.3">
      <c r="A122" s="105"/>
      <c r="B122" s="308" t="s">
        <v>344</v>
      </c>
      <c r="C122" s="101" t="s">
        <v>113</v>
      </c>
      <c r="D122" s="95">
        <f>G37*D57/1000</f>
        <v>373214.28571428574</v>
      </c>
      <c r="G122" s="54"/>
      <c r="K122" s="106"/>
    </row>
    <row r="123" spans="1:11" ht="13.5" thickBot="1" x14ac:dyDescent="0.35">
      <c r="A123" s="105"/>
      <c r="B123" s="308" t="s">
        <v>501</v>
      </c>
      <c r="C123" s="101" t="s">
        <v>113</v>
      </c>
      <c r="D123" s="95">
        <f>-G44*1000</f>
        <v>-2000</v>
      </c>
      <c r="G123" s="54"/>
      <c r="K123" s="106"/>
    </row>
    <row r="124" spans="1:11" ht="26" x14ac:dyDescent="0.3">
      <c r="A124" s="105"/>
      <c r="B124" s="304" t="s">
        <v>337</v>
      </c>
      <c r="C124" s="305" t="s">
        <v>113</v>
      </c>
      <c r="D124" s="313">
        <f>SUM(D117:D123)</f>
        <v>13913869.853860829</v>
      </c>
      <c r="G124" s="54"/>
      <c r="K124" s="106"/>
    </row>
    <row r="125" spans="1:11" ht="12.75" customHeight="1" x14ac:dyDescent="0.3">
      <c r="A125" s="53"/>
      <c r="C125" s="96"/>
      <c r="D125" s="103"/>
      <c r="G125" s="54"/>
      <c r="K125" s="106"/>
    </row>
    <row r="126" spans="1:11" ht="12.75" customHeight="1" x14ac:dyDescent="0.3">
      <c r="A126" s="105" t="s">
        <v>363</v>
      </c>
      <c r="C126" s="96"/>
      <c r="D126" s="103"/>
      <c r="G126" s="54"/>
      <c r="K126" s="106"/>
    </row>
    <row r="127" spans="1:11" ht="12.75" customHeight="1" x14ac:dyDescent="0.3">
      <c r="A127" s="53"/>
      <c r="B127" s="82" t="s">
        <v>349</v>
      </c>
      <c r="C127" s="101" t="s">
        <v>113</v>
      </c>
      <c r="D127" s="95">
        <f>G42*D59*D58/1000</f>
        <v>1315.44</v>
      </c>
      <c r="G127" s="54"/>
      <c r="K127" s="106"/>
    </row>
    <row r="128" spans="1:11" ht="12.75" customHeight="1" thickBot="1" x14ac:dyDescent="0.35">
      <c r="A128" s="53"/>
      <c r="B128" s="82" t="s">
        <v>549</v>
      </c>
      <c r="C128" s="101" t="s">
        <v>113</v>
      </c>
      <c r="D128" s="95">
        <f>G41*D60/1000</f>
        <v>8893.65</v>
      </c>
      <c r="G128" s="54"/>
      <c r="K128" s="106"/>
    </row>
    <row r="129" spans="1:11" ht="12.75" customHeight="1" x14ac:dyDescent="0.3">
      <c r="A129" s="53"/>
      <c r="B129" s="304" t="s">
        <v>116</v>
      </c>
      <c r="C129" s="305" t="s">
        <v>113</v>
      </c>
      <c r="D129" s="306">
        <f>SUM(D127:D128)</f>
        <v>10209.09</v>
      </c>
      <c r="G129" s="54"/>
      <c r="K129" s="106"/>
    </row>
    <row r="130" spans="1:11" ht="12.75" customHeight="1" x14ac:dyDescent="0.3">
      <c r="A130" s="53"/>
      <c r="B130" s="82"/>
      <c r="C130" s="101"/>
      <c r="G130" s="54"/>
      <c r="K130" s="106"/>
    </row>
    <row r="131" spans="1:11" ht="12.75" customHeight="1" x14ac:dyDescent="0.3">
      <c r="A131" s="105" t="s">
        <v>347</v>
      </c>
      <c r="B131" s="99"/>
      <c r="C131" s="102" t="s">
        <v>113</v>
      </c>
      <c r="D131" s="68">
        <f>D124+D129</f>
        <v>13924078.943860829</v>
      </c>
      <c r="E131" s="62"/>
      <c r="F131" s="66"/>
      <c r="G131" s="54"/>
      <c r="K131" s="106"/>
    </row>
    <row r="132" spans="1:11" ht="12.75" customHeight="1" x14ac:dyDescent="0.3">
      <c r="A132" s="53"/>
      <c r="B132" s="82"/>
      <c r="C132" s="101"/>
      <c r="G132" s="54"/>
      <c r="K132" s="106"/>
    </row>
    <row r="133" spans="1:11" ht="12.75" customHeight="1" x14ac:dyDescent="0.3">
      <c r="A133" s="105" t="s">
        <v>156</v>
      </c>
      <c r="B133" s="100"/>
      <c r="C133" s="101"/>
      <c r="G133" s="54"/>
      <c r="K133" s="106"/>
    </row>
    <row r="134" spans="1:11" ht="27.65" customHeight="1" x14ac:dyDescent="0.3">
      <c r="A134" s="53"/>
      <c r="B134" s="82" t="s">
        <v>551</v>
      </c>
      <c r="C134" s="101" t="s">
        <v>113</v>
      </c>
      <c r="D134" s="95">
        <f>D117+D121+D122+D123</f>
        <v>7296508.3027465409</v>
      </c>
      <c r="G134" s="54"/>
      <c r="K134" s="106"/>
    </row>
    <row r="135" spans="1:11" ht="12.75" customHeight="1" x14ac:dyDescent="0.3">
      <c r="A135" s="53"/>
      <c r="B135" s="82" t="s">
        <v>173</v>
      </c>
      <c r="C135" s="101" t="s">
        <v>113</v>
      </c>
      <c r="D135" s="95">
        <f>D127+D128</f>
        <v>10209.09</v>
      </c>
      <c r="G135" s="54"/>
      <c r="K135" s="106"/>
    </row>
    <row r="136" spans="1:11" ht="42.65" customHeight="1" thickBot="1" x14ac:dyDescent="0.35">
      <c r="A136" s="53"/>
      <c r="B136" s="82" t="s">
        <v>348</v>
      </c>
      <c r="C136" s="307" t="s">
        <v>113</v>
      </c>
      <c r="D136" s="95">
        <f>D119+D120</f>
        <v>6617361.5511142872</v>
      </c>
      <c r="G136" s="54"/>
      <c r="K136" s="106"/>
    </row>
    <row r="137" spans="1:11" ht="12.75" customHeight="1" x14ac:dyDescent="0.3">
      <c r="A137" s="53"/>
      <c r="B137" s="295" t="s">
        <v>157</v>
      </c>
      <c r="C137" s="296" t="s">
        <v>113</v>
      </c>
      <c r="D137" s="297">
        <f>SUM(D134:D136)</f>
        <v>13924078.943860829</v>
      </c>
      <c r="E137" s="62">
        <v>100000</v>
      </c>
      <c r="F137" s="63" t="str">
        <f>IF(D137&lt;E137,"nee","ja")</f>
        <v>ja</v>
      </c>
      <c r="G137" s="64">
        <f>IF(F137="nee",,D137)</f>
        <v>13924078.943860829</v>
      </c>
      <c r="K137" s="106"/>
    </row>
    <row r="138" spans="1:11" ht="12.75" customHeight="1" thickBot="1" x14ac:dyDescent="0.35">
      <c r="A138" s="28"/>
      <c r="B138" s="32"/>
      <c r="C138" s="44"/>
      <c r="D138" s="45"/>
      <c r="E138" s="46"/>
      <c r="F138" s="42"/>
      <c r="G138" s="29"/>
      <c r="K138" s="106"/>
    </row>
    <row r="139" spans="1:11" ht="12.75" customHeight="1" x14ac:dyDescent="0.3">
      <c r="A139" s="111" t="s">
        <v>48</v>
      </c>
      <c r="B139" s="112"/>
      <c r="C139" s="113"/>
      <c r="D139" s="113"/>
      <c r="E139" s="113"/>
      <c r="F139" s="113"/>
      <c r="G139" s="114"/>
    </row>
    <row r="140" spans="1:11" ht="12.75" customHeight="1" x14ac:dyDescent="0.3">
      <c r="A140" s="105" t="s">
        <v>49</v>
      </c>
      <c r="B140" s="8"/>
      <c r="C140" s="61" t="s">
        <v>26</v>
      </c>
      <c r="D140" s="61" t="s">
        <v>25</v>
      </c>
      <c r="F140" s="16"/>
      <c r="G140" s="20"/>
    </row>
    <row r="141" spans="1:11" ht="26" x14ac:dyDescent="0.3">
      <c r="A141" s="27"/>
      <c r="B141" s="82" t="s">
        <v>530</v>
      </c>
      <c r="C141" s="123" t="s">
        <v>518</v>
      </c>
      <c r="D141" s="328">
        <f>44/28*11</f>
        <v>17.285714285714285</v>
      </c>
      <c r="F141" s="16"/>
      <c r="G141" s="20"/>
    </row>
    <row r="142" spans="1:11" x14ac:dyDescent="0.3">
      <c r="A142" s="27"/>
      <c r="C142" s="9"/>
      <c r="D142" s="22"/>
      <c r="F142" s="16"/>
      <c r="G142" s="20"/>
    </row>
    <row r="143" spans="1:11" ht="12.75" customHeight="1" x14ac:dyDescent="0.3">
      <c r="A143" s="105" t="s">
        <v>67</v>
      </c>
      <c r="B143" s="8"/>
      <c r="C143" s="61" t="s">
        <v>26</v>
      </c>
      <c r="D143" s="61" t="s">
        <v>44</v>
      </c>
      <c r="F143" s="16"/>
      <c r="G143" s="20"/>
    </row>
    <row r="144" spans="1:11" ht="12.75" customHeight="1" x14ac:dyDescent="0.3">
      <c r="A144" s="27"/>
      <c r="B144" s="60" t="s">
        <v>42</v>
      </c>
      <c r="C144" s="65" t="s">
        <v>50</v>
      </c>
      <c r="D144" s="62">
        <f>D141*G11/1000</f>
        <v>86.428571428571416</v>
      </c>
      <c r="E144" s="62">
        <v>10000</v>
      </c>
      <c r="F144" s="63" t="str">
        <f>IF(D144&lt;E144,"nee","ja")</f>
        <v>nee</v>
      </c>
      <c r="G144" s="64">
        <f>IF(F144="ja",D144,)</f>
        <v>0</v>
      </c>
    </row>
    <row r="145" spans="1:7" ht="12.75" customHeight="1" thickBot="1" x14ac:dyDescent="0.35">
      <c r="A145" s="28"/>
      <c r="B145" s="32"/>
      <c r="C145" s="44"/>
      <c r="D145" s="45"/>
      <c r="E145" s="46"/>
      <c r="F145" s="42"/>
      <c r="G145" s="29"/>
    </row>
    <row r="146" spans="1:7" ht="12.75" customHeight="1" x14ac:dyDescent="0.3">
      <c r="A146" s="111" t="s">
        <v>552</v>
      </c>
      <c r="B146" s="112"/>
      <c r="C146" s="113"/>
      <c r="D146" s="113"/>
      <c r="E146" s="113"/>
      <c r="F146" s="113"/>
      <c r="G146" s="114"/>
    </row>
    <row r="147" spans="1:7" ht="12.75" customHeight="1" x14ac:dyDescent="0.3">
      <c r="A147" s="105" t="s">
        <v>53</v>
      </c>
      <c r="B147" s="8"/>
      <c r="C147" s="61" t="s">
        <v>26</v>
      </c>
      <c r="D147" s="61" t="s">
        <v>25</v>
      </c>
      <c r="E147" s="40"/>
      <c r="F147" s="16"/>
      <c r="G147" s="52"/>
    </row>
    <row r="148" spans="1:7" ht="12.75" customHeight="1" x14ac:dyDescent="0.3">
      <c r="A148" s="53"/>
      <c r="B148" s="2" t="s">
        <v>55</v>
      </c>
      <c r="C148" s="24" t="s">
        <v>143</v>
      </c>
      <c r="D148" s="301">
        <v>2.35</v>
      </c>
      <c r="F148" s="121"/>
      <c r="G148" s="54"/>
    </row>
    <row r="149" spans="1:7" ht="12.75" customHeight="1" x14ac:dyDescent="0.3">
      <c r="A149" s="27"/>
      <c r="B149" s="2" t="s">
        <v>54</v>
      </c>
      <c r="C149" s="24" t="s">
        <v>163</v>
      </c>
      <c r="D149" s="301">
        <v>3.165</v>
      </c>
      <c r="F149" s="16"/>
      <c r="G149" s="19"/>
    </row>
    <row r="150" spans="1:7" ht="12.75" customHeight="1" x14ac:dyDescent="0.3">
      <c r="A150" s="27"/>
      <c r="B150" s="2" t="s">
        <v>164</v>
      </c>
      <c r="C150" s="24" t="s">
        <v>165</v>
      </c>
      <c r="D150" s="301">
        <v>4.66</v>
      </c>
      <c r="F150" s="16"/>
      <c r="G150" s="19"/>
    </row>
    <row r="151" spans="1:7" ht="12.75" customHeight="1" x14ac:dyDescent="0.3">
      <c r="A151" s="27"/>
      <c r="B151" s="38"/>
      <c r="C151" s="9"/>
      <c r="D151" s="75"/>
      <c r="E151" s="16"/>
      <c r="F151" s="16"/>
      <c r="G151" s="19"/>
    </row>
    <row r="152" spans="1:7" ht="12.75" customHeight="1" x14ac:dyDescent="0.3">
      <c r="A152" s="105" t="s">
        <v>66</v>
      </c>
      <c r="B152" s="38"/>
      <c r="C152" s="61" t="s">
        <v>26</v>
      </c>
      <c r="D152" s="61" t="s">
        <v>44</v>
      </c>
      <c r="E152" s="16"/>
      <c r="F152" s="16"/>
      <c r="G152" s="19"/>
    </row>
    <row r="153" spans="1:7" ht="12.75" customHeight="1" x14ac:dyDescent="0.3">
      <c r="A153" s="27"/>
      <c r="B153" s="2" t="s">
        <v>56</v>
      </c>
      <c r="C153" s="24" t="s">
        <v>58</v>
      </c>
      <c r="D153" s="164">
        <f>D148*(G34+G35)/1000</f>
        <v>8021.2314999999999</v>
      </c>
      <c r="E153" s="16"/>
      <c r="F153" s="16"/>
      <c r="G153" s="19"/>
    </row>
    <row r="154" spans="1:7" ht="12.75" customHeight="1" x14ac:dyDescent="0.3">
      <c r="A154" s="27"/>
      <c r="B154" s="2" t="s">
        <v>57</v>
      </c>
      <c r="C154" s="24" t="s">
        <v>58</v>
      </c>
      <c r="D154" s="233">
        <f>D149*G41/1000</f>
        <v>15.824999999999999</v>
      </c>
      <c r="E154" s="16"/>
      <c r="F154" s="16"/>
      <c r="G154" s="19"/>
    </row>
    <row r="155" spans="1:7" ht="12.75" customHeight="1" x14ac:dyDescent="0.3">
      <c r="A155" s="27"/>
      <c r="B155" s="2" t="s">
        <v>166</v>
      </c>
      <c r="C155" s="24" t="s">
        <v>58</v>
      </c>
      <c r="D155" s="233">
        <f>D150*G42/1000</f>
        <v>2.33</v>
      </c>
      <c r="E155" s="16"/>
      <c r="F155" s="16"/>
      <c r="G155" s="19"/>
    </row>
    <row r="156" spans="1:7" ht="12.75" customHeight="1" x14ac:dyDescent="0.3">
      <c r="A156" s="27"/>
      <c r="B156" s="60" t="s">
        <v>42</v>
      </c>
      <c r="C156" s="24" t="s">
        <v>58</v>
      </c>
      <c r="D156" s="68">
        <f>SUM(D153:D155)</f>
        <v>8039.3864999999996</v>
      </c>
      <c r="E156" s="62">
        <v>10000</v>
      </c>
      <c r="F156" s="63" t="str">
        <f>IF(D156&lt;E156,"nee","ja")</f>
        <v>nee</v>
      </c>
      <c r="G156" s="64">
        <f>IF(F156="ja",D156,)</f>
        <v>0</v>
      </c>
    </row>
    <row r="157" spans="1:7" ht="12.75" customHeight="1" thickBot="1" x14ac:dyDescent="0.35">
      <c r="A157" s="28"/>
      <c r="B157" s="47"/>
      <c r="C157" s="35"/>
      <c r="D157" s="46"/>
      <c r="E157" s="42"/>
      <c r="F157" s="42"/>
      <c r="G157" s="55"/>
    </row>
    <row r="158" spans="1:7" ht="12.75" customHeight="1" x14ac:dyDescent="0.3">
      <c r="A158" s="111" t="s">
        <v>553</v>
      </c>
      <c r="B158" s="112"/>
      <c r="C158" s="113"/>
      <c r="D158" s="113"/>
      <c r="E158" s="113"/>
      <c r="F158" s="113"/>
      <c r="G158" s="114"/>
    </row>
    <row r="159" spans="1:7" ht="12.75" customHeight="1" x14ac:dyDescent="0.3">
      <c r="A159" s="105" t="s">
        <v>60</v>
      </c>
      <c r="B159" s="8"/>
      <c r="C159" s="61" t="s">
        <v>26</v>
      </c>
      <c r="D159" s="61" t="s">
        <v>25</v>
      </c>
      <c r="E159" s="16"/>
      <c r="F159" s="16"/>
      <c r="G159" s="19"/>
    </row>
    <row r="160" spans="1:7" ht="12.75" customHeight="1" x14ac:dyDescent="0.3">
      <c r="A160" s="53"/>
      <c r="B160" s="2" t="s">
        <v>535</v>
      </c>
      <c r="C160" s="24" t="s">
        <v>144</v>
      </c>
      <c r="D160" s="233">
        <v>14</v>
      </c>
      <c r="E160" s="16"/>
      <c r="F160" s="16"/>
      <c r="G160" s="19"/>
    </row>
    <row r="161" spans="1:7" ht="12.75" customHeight="1" x14ac:dyDescent="0.3">
      <c r="A161" s="53"/>
      <c r="B161" s="2"/>
      <c r="C161" s="24" t="s">
        <v>158</v>
      </c>
      <c r="D161" s="302">
        <f>(32.1/(32.1+2*16))*D160</f>
        <v>7.0109204368174742</v>
      </c>
      <c r="E161" s="16"/>
      <c r="F161" s="16"/>
      <c r="G161" s="19"/>
    </row>
    <row r="162" spans="1:7" ht="12.75" customHeight="1" x14ac:dyDescent="0.3">
      <c r="A162" s="53"/>
      <c r="B162" s="2" t="s">
        <v>536</v>
      </c>
      <c r="C162" s="24" t="s">
        <v>171</v>
      </c>
      <c r="D162" s="303">
        <v>6.14</v>
      </c>
      <c r="E162" s="16"/>
      <c r="F162" s="16"/>
      <c r="G162" s="19"/>
    </row>
    <row r="163" spans="1:7" ht="12.75" customHeight="1" x14ac:dyDescent="0.3">
      <c r="A163" s="53"/>
      <c r="B163" s="38"/>
      <c r="C163" s="9"/>
      <c r="D163" s="125"/>
      <c r="E163" s="16"/>
      <c r="F163" s="16"/>
      <c r="G163" s="19"/>
    </row>
    <row r="164" spans="1:7" ht="12.75" customHeight="1" x14ac:dyDescent="0.3">
      <c r="A164" s="105" t="s">
        <v>68</v>
      </c>
      <c r="B164" s="38"/>
      <c r="C164" s="61" t="s">
        <v>26</v>
      </c>
      <c r="D164" s="61" t="s">
        <v>44</v>
      </c>
      <c r="E164" s="16"/>
      <c r="F164" s="16"/>
      <c r="G164" s="19"/>
    </row>
    <row r="165" spans="1:7" ht="12.75" customHeight="1" x14ac:dyDescent="0.3">
      <c r="A165" s="27"/>
      <c r="B165" s="2" t="s">
        <v>56</v>
      </c>
      <c r="C165" s="24" t="s">
        <v>69</v>
      </c>
      <c r="D165" s="164">
        <f>D160*(G34+G35)/1000000</f>
        <v>47.786059999999999</v>
      </c>
      <c r="E165" s="62"/>
      <c r="F165" s="66"/>
      <c r="G165" s="64"/>
    </row>
    <row r="166" spans="1:7" ht="12.75" customHeight="1" x14ac:dyDescent="0.3">
      <c r="A166" s="27"/>
      <c r="B166" s="2" t="s">
        <v>57</v>
      </c>
      <c r="C166" s="24" t="s">
        <v>69</v>
      </c>
      <c r="D166" s="165">
        <f>D162*G41*0.03165/1000</f>
        <v>0.97165499999999994</v>
      </c>
      <c r="E166" s="62"/>
      <c r="F166" s="66"/>
      <c r="G166" s="64"/>
    </row>
    <row r="167" spans="1:7" ht="12.75" customHeight="1" x14ac:dyDescent="0.3">
      <c r="A167" s="27"/>
      <c r="B167" s="2" t="s">
        <v>166</v>
      </c>
      <c r="C167" s="24" t="s">
        <v>69</v>
      </c>
      <c r="D167" s="233">
        <f>D162*G42*D59*0.0427/1000</f>
        <v>0.11011475999999999</v>
      </c>
      <c r="E167" s="62"/>
      <c r="F167" s="66"/>
      <c r="G167" s="64"/>
    </row>
    <row r="168" spans="1:7" ht="12.75" customHeight="1" x14ac:dyDescent="0.3">
      <c r="A168" s="27"/>
      <c r="B168" s="60" t="s">
        <v>42</v>
      </c>
      <c r="C168" s="61" t="s">
        <v>69</v>
      </c>
      <c r="D168" s="68">
        <f>SUM(D165:D167)</f>
        <v>48.867829759999999</v>
      </c>
      <c r="E168" s="62">
        <v>20000</v>
      </c>
      <c r="F168" s="63" t="str">
        <f>IF(D168&lt;E168,"nee","ja")</f>
        <v>nee</v>
      </c>
      <c r="G168" s="64">
        <f>IF(F168="ja",D168,)</f>
        <v>0</v>
      </c>
    </row>
    <row r="169" spans="1:7" ht="12.75" customHeight="1" thickBot="1" x14ac:dyDescent="0.35">
      <c r="A169" s="28"/>
      <c r="B169" s="47"/>
      <c r="C169" s="35"/>
      <c r="D169" s="163"/>
      <c r="E169" s="42"/>
      <c r="F169" s="42"/>
      <c r="G169" s="55"/>
    </row>
    <row r="170" spans="1:7" ht="12.75" customHeight="1" x14ac:dyDescent="0.3">
      <c r="A170" s="111" t="s">
        <v>533</v>
      </c>
      <c r="B170" s="112"/>
      <c r="C170" s="113"/>
      <c r="D170" s="113"/>
      <c r="E170" s="113"/>
      <c r="F170" s="113"/>
      <c r="G170" s="114"/>
    </row>
    <row r="171" spans="1:7" ht="12.75" customHeight="1" x14ac:dyDescent="0.3">
      <c r="A171" s="316" t="s">
        <v>533</v>
      </c>
      <c r="B171" s="5"/>
      <c r="C171" s="7"/>
      <c r="D171" s="7"/>
      <c r="E171" s="7"/>
      <c r="F171" s="7"/>
      <c r="G171" s="18"/>
    </row>
    <row r="172" spans="1:7" ht="12.75" customHeight="1" x14ac:dyDescent="0.3">
      <c r="A172" s="105" t="s">
        <v>70</v>
      </c>
      <c r="B172" s="8"/>
      <c r="C172" s="61" t="s">
        <v>26</v>
      </c>
      <c r="D172" s="61" t="s">
        <v>25</v>
      </c>
      <c r="E172" s="7"/>
      <c r="F172" s="7"/>
      <c r="G172" s="18"/>
    </row>
    <row r="173" spans="1:7" ht="12.75" customHeight="1" x14ac:dyDescent="0.3">
      <c r="A173" s="53"/>
      <c r="B173" s="2" t="s">
        <v>537</v>
      </c>
      <c r="C173" s="24" t="s">
        <v>534</v>
      </c>
      <c r="D173" s="24">
        <v>15</v>
      </c>
      <c r="E173" s="7"/>
      <c r="F173" s="7"/>
      <c r="G173" s="18"/>
    </row>
    <row r="174" spans="1:7" ht="12.75" customHeight="1" x14ac:dyDescent="0.4">
      <c r="A174" s="53"/>
      <c r="B174" s="2" t="s">
        <v>541</v>
      </c>
      <c r="C174" s="24" t="s">
        <v>511</v>
      </c>
      <c r="D174" s="24">
        <v>7</v>
      </c>
      <c r="E174" s="7"/>
      <c r="F174" s="7"/>
      <c r="G174" s="18"/>
    </row>
    <row r="175" spans="1:7" ht="12.75" customHeight="1" x14ac:dyDescent="0.4">
      <c r="A175" s="316"/>
      <c r="B175" s="2" t="s">
        <v>542</v>
      </c>
      <c r="C175" s="24" t="s">
        <v>512</v>
      </c>
      <c r="D175" s="24">
        <v>250</v>
      </c>
      <c r="E175" s="7"/>
      <c r="F175" s="7"/>
      <c r="G175" s="18"/>
    </row>
    <row r="176" spans="1:7" ht="12.75" customHeight="1" x14ac:dyDescent="0.3">
      <c r="A176" s="316"/>
      <c r="B176" s="5"/>
      <c r="C176" s="7"/>
      <c r="D176" s="7"/>
      <c r="E176" s="7"/>
      <c r="F176" s="7"/>
      <c r="G176" s="18"/>
    </row>
    <row r="177" spans="1:11" ht="12.75" customHeight="1" x14ac:dyDescent="0.3">
      <c r="A177" s="316" t="s">
        <v>538</v>
      </c>
      <c r="B177" s="5"/>
      <c r="C177" s="7"/>
      <c r="D177" s="7"/>
      <c r="E177" s="7"/>
      <c r="F177" s="7"/>
      <c r="G177" s="18"/>
    </row>
    <row r="178" spans="1:11" ht="12.75" customHeight="1" x14ac:dyDescent="0.3">
      <c r="A178" s="316"/>
      <c r="B178" s="2" t="s">
        <v>539</v>
      </c>
      <c r="C178" s="24" t="s">
        <v>540</v>
      </c>
      <c r="D178" s="165">
        <f>D173*G12/1000000</f>
        <v>375</v>
      </c>
      <c r="E178" s="7"/>
      <c r="F178" s="7"/>
      <c r="G178" s="18"/>
    </row>
    <row r="179" spans="1:11" ht="12.75" customHeight="1" x14ac:dyDescent="0.3">
      <c r="A179" s="317"/>
      <c r="B179" s="2" t="s">
        <v>543</v>
      </c>
      <c r="C179" s="24" t="s">
        <v>59</v>
      </c>
      <c r="D179" s="70">
        <f>D174*G10/1000000</f>
        <v>1.925</v>
      </c>
      <c r="E179" s="62">
        <v>500</v>
      </c>
      <c r="F179" s="63" t="str">
        <f>IF(D179&lt;E179,"nee","ja")</f>
        <v>nee</v>
      </c>
      <c r="G179" s="64">
        <f>IF(F179="ja",D179,)</f>
        <v>0</v>
      </c>
    </row>
    <row r="180" spans="1:11" ht="12.75" customHeight="1" x14ac:dyDescent="0.3">
      <c r="A180" s="317"/>
      <c r="B180" s="2" t="s">
        <v>544</v>
      </c>
      <c r="C180" s="24" t="s">
        <v>161</v>
      </c>
      <c r="D180" s="70">
        <f>D175*G10/1000000</f>
        <v>68.75</v>
      </c>
      <c r="E180" s="62">
        <v>10000</v>
      </c>
      <c r="F180" s="63" t="str">
        <f>IF(D180&lt;E180,"nee","ja")</f>
        <v>nee</v>
      </c>
      <c r="G180" s="64">
        <f>IF(F180="ja",D180,)</f>
        <v>0</v>
      </c>
    </row>
    <row r="181" spans="1:11" ht="12.75" customHeight="1" x14ac:dyDescent="0.3">
      <c r="A181" s="317"/>
      <c r="B181" s="2" t="s">
        <v>545</v>
      </c>
      <c r="C181" s="24" t="s">
        <v>546</v>
      </c>
      <c r="D181" s="318">
        <f>D178-D179-D180</f>
        <v>304.32499999999999</v>
      </c>
      <c r="E181" s="7"/>
      <c r="F181" s="7"/>
      <c r="G181" s="18"/>
    </row>
    <row r="182" spans="1:11" ht="12.75" customHeight="1" x14ac:dyDescent="0.3">
      <c r="A182" s="317"/>
      <c r="B182" s="2"/>
      <c r="C182" s="24"/>
      <c r="D182" s="24"/>
      <c r="E182" s="7"/>
      <c r="F182" s="7"/>
      <c r="G182" s="18"/>
    </row>
    <row r="183" spans="1:11" s="2" customFormat="1" ht="12.75" customHeight="1" thickBot="1" x14ac:dyDescent="0.35">
      <c r="A183" s="56"/>
      <c r="B183" s="57"/>
      <c r="C183" s="58"/>
      <c r="D183" s="58"/>
      <c r="E183" s="58"/>
      <c r="F183" s="58"/>
      <c r="G183" s="59"/>
      <c r="H183" s="1"/>
      <c r="I183" s="1"/>
      <c r="J183" s="1"/>
      <c r="K183" s="1"/>
    </row>
    <row r="184" spans="1:11" ht="13.5" thickTop="1" x14ac:dyDescent="0.3">
      <c r="A184" s="111" t="s">
        <v>572</v>
      </c>
      <c r="B184" s="112"/>
      <c r="C184" s="113"/>
      <c r="D184" s="113"/>
      <c r="E184" s="113"/>
      <c r="F184" s="113"/>
      <c r="G184" s="114"/>
    </row>
    <row r="185" spans="1:11" x14ac:dyDescent="0.3">
      <c r="A185" s="105" t="s">
        <v>573</v>
      </c>
      <c r="B185" s="8"/>
      <c r="C185" s="61" t="s">
        <v>26</v>
      </c>
      <c r="D185" s="61" t="s">
        <v>25</v>
      </c>
      <c r="E185" s="16"/>
      <c r="F185" s="16"/>
      <c r="G185" s="19"/>
    </row>
    <row r="186" spans="1:11" x14ac:dyDescent="0.3">
      <c r="A186" s="53"/>
      <c r="B186" s="2" t="s">
        <v>56</v>
      </c>
      <c r="C186" s="24" t="s">
        <v>574</v>
      </c>
      <c r="D186" s="24">
        <v>1.1299999999999999</v>
      </c>
      <c r="E186" s="16"/>
      <c r="F186" s="16"/>
      <c r="G186" s="19"/>
    </row>
    <row r="187" spans="1:11" x14ac:dyDescent="0.3">
      <c r="A187" s="53"/>
      <c r="B187" s="2"/>
      <c r="C187" s="24"/>
      <c r="D187" s="24"/>
      <c r="E187" s="16"/>
      <c r="F187" s="16"/>
      <c r="G187" s="19"/>
    </row>
    <row r="188" spans="1:11" x14ac:dyDescent="0.3">
      <c r="A188" s="105" t="s">
        <v>575</v>
      </c>
      <c r="B188" s="38"/>
      <c r="C188" s="61" t="s">
        <v>26</v>
      </c>
      <c r="D188" s="61" t="s">
        <v>44</v>
      </c>
      <c r="E188" s="16"/>
      <c r="F188" s="16"/>
      <c r="G188" s="19"/>
    </row>
    <row r="189" spans="1:11" x14ac:dyDescent="0.3">
      <c r="A189" s="27"/>
      <c r="B189" s="2" t="s">
        <v>56</v>
      </c>
      <c r="C189" s="24" t="s">
        <v>576</v>
      </c>
      <c r="D189" s="95">
        <f>D186*(G34+G35)/1000</f>
        <v>3857.0176999999999</v>
      </c>
      <c r="E189" s="62">
        <v>100</v>
      </c>
      <c r="F189" s="66"/>
      <c r="G189" s="64"/>
    </row>
    <row r="190" spans="1:11" ht="13.5" thickBot="1" x14ac:dyDescent="0.35">
      <c r="A190" s="56"/>
      <c r="B190" s="57"/>
      <c r="C190" s="58"/>
      <c r="D190" s="58"/>
      <c r="E190" s="58"/>
      <c r="F190" s="58"/>
      <c r="G190" s="59"/>
    </row>
    <row r="191" spans="1:11" ht="13.5" thickTop="1" x14ac:dyDescent="0.3"/>
  </sheetData>
  <mergeCells count="23">
    <mergeCell ref="C63:D63"/>
    <mergeCell ref="B36:D36"/>
    <mergeCell ref="B37:D37"/>
    <mergeCell ref="B41:D41"/>
    <mergeCell ref="B42:D42"/>
    <mergeCell ref="A39:E39"/>
    <mergeCell ref="B40:D40"/>
    <mergeCell ref="C54:D54"/>
    <mergeCell ref="B38:D38"/>
    <mergeCell ref="B44:D44"/>
    <mergeCell ref="B45:D45"/>
    <mergeCell ref="B35:D35"/>
    <mergeCell ref="B10:D10"/>
    <mergeCell ref="B13:D13"/>
    <mergeCell ref="B14:D14"/>
    <mergeCell ref="B15:D15"/>
    <mergeCell ref="B17:D17"/>
    <mergeCell ref="B20:D20"/>
    <mergeCell ref="A21:E21"/>
    <mergeCell ref="B24:D24"/>
    <mergeCell ref="A26:E26"/>
    <mergeCell ref="B34:D34"/>
    <mergeCell ref="A33:E33"/>
  </mergeCells>
  <conditionalFormatting sqref="D84:D92">
    <cfRule type="cellIs" dxfId="21" priority="24" operator="greaterThan">
      <formula>$E$93</formula>
    </cfRule>
  </conditionalFormatting>
  <conditionalFormatting sqref="D107:D110">
    <cfRule type="cellIs" dxfId="20" priority="13" operator="greaterThan">
      <formula>$E$111</formula>
    </cfRule>
  </conditionalFormatting>
  <conditionalFormatting sqref="D117:D122 D127:D128">
    <cfRule type="cellIs" dxfId="19" priority="20" operator="greaterThan">
      <formula>$E$137</formula>
    </cfRule>
  </conditionalFormatting>
  <conditionalFormatting sqref="D134:D136">
    <cfRule type="cellIs" dxfId="18" priority="19" operator="greaterThan">
      <formula>$E$137</formula>
    </cfRule>
  </conditionalFormatting>
  <conditionalFormatting sqref="D144">
    <cfRule type="cellIs" dxfId="17" priority="18" operator="greaterThan">
      <formula>$E$144</formula>
    </cfRule>
  </conditionalFormatting>
  <conditionalFormatting sqref="D148:D151 D153:D156">
    <cfRule type="cellIs" dxfId="16" priority="17" operator="greaterThan">
      <formula>$E$156</formula>
    </cfRule>
  </conditionalFormatting>
  <conditionalFormatting sqref="D165:D167">
    <cfRule type="cellIs" dxfId="15" priority="16" operator="greaterThan">
      <formula>$E$168</formula>
    </cfRule>
  </conditionalFormatting>
  <conditionalFormatting sqref="D178:D179">
    <cfRule type="cellIs" dxfId="14" priority="15" operator="greaterThan">
      <formula>$E$179</formula>
    </cfRule>
  </conditionalFormatting>
  <conditionalFormatting sqref="D180">
    <cfRule type="cellIs" dxfId="13" priority="14" operator="greaterThan">
      <formula>$E$180</formula>
    </cfRule>
  </conditionalFormatting>
  <conditionalFormatting sqref="D189">
    <cfRule type="cellIs" dxfId="12" priority="1" operator="greaterThan">
      <formula>$E$189</formula>
    </cfRule>
  </conditionalFormatting>
  <conditionalFormatting sqref="F93 F111 F137 F144 F156 F168 F179:F180">
    <cfRule type="cellIs" dxfId="11" priority="59" operator="equal">
      <formula>"nee"</formula>
    </cfRule>
    <cfRule type="cellIs" dxfId="10" priority="60" operator="equal">
      <formula>"ja"</formula>
    </cfRule>
  </conditionalFormatting>
  <conditionalFormatting sqref="G44">
    <cfRule type="expression" dxfId="9" priority="5">
      <formula>IF($G$43="nee",$G$44&lt;&gt;"","")</formula>
    </cfRule>
    <cfRule type="expression" dxfId="8" priority="6">
      <formula>$G$43="ja"</formula>
    </cfRule>
  </conditionalFormatting>
  <conditionalFormatting sqref="G93">
    <cfRule type="cellIs" dxfId="7" priority="9" operator="greaterThan">
      <formula>0</formula>
    </cfRule>
  </conditionalFormatting>
  <conditionalFormatting sqref="G96:G97">
    <cfRule type="cellIs" dxfId="6" priority="8" operator="greaterThan">
      <formula>0</formula>
    </cfRule>
  </conditionalFormatting>
  <conditionalFormatting sqref="G111">
    <cfRule type="cellIs" dxfId="5" priority="32" operator="greaterThan">
      <formula>0</formula>
    </cfRule>
  </conditionalFormatting>
  <conditionalFormatting sqref="G137">
    <cfRule type="cellIs" dxfId="4" priority="31" operator="greaterThan">
      <formula>0</formula>
    </cfRule>
  </conditionalFormatting>
  <conditionalFormatting sqref="G144">
    <cfRule type="cellIs" dxfId="3" priority="30" operator="greaterThan">
      <formula>0</formula>
    </cfRule>
  </conditionalFormatting>
  <conditionalFormatting sqref="G156">
    <cfRule type="cellIs" dxfId="2" priority="28" operator="greaterThan">
      <formula>0</formula>
    </cfRule>
  </conditionalFormatting>
  <conditionalFormatting sqref="G168">
    <cfRule type="cellIs" dxfId="1" priority="27" operator="greaterThan">
      <formula>0</formula>
    </cfRule>
  </conditionalFormatting>
  <conditionalFormatting sqref="G179:G180">
    <cfRule type="cellIs" dxfId="0" priority="25" operator="greaterThan">
      <formula>0</formula>
    </cfRule>
  </conditionalFormatting>
  <printOptions gridLines="1"/>
  <pageMargins left="0.35" right="0.15748031496062992" top="0.28000000000000003" bottom="0.38" header="0.15748031496062992" footer="0.15748031496062992"/>
  <pageSetup paperSize="9" scale="64" orientation="landscape" r:id="rId1"/>
  <headerFooter alignWithMargins="0">
    <oddHeader>&amp;L&amp;"-,Vet"&amp;9Rekentool: Luchtgerelateerde emissies vanuit rwzi's. Versie 2016
&amp;R&amp;"-,Vet"&amp;9Vereniging van Zuiveringbeheerders</oddHeader>
    <oddFooter>&amp;L&amp;"-,Standaard"&amp;8J. Baltussen
BACO-adviesbureau BV&amp;C&amp;"-,Standaard"&amp;9Pagina &amp;P van &amp;N&amp;R&amp;"-,Standaard"&amp;8Datum: 26-02-2016</oddFooter>
  </headerFooter>
  <rowBreaks count="2" manualBreakCount="2">
    <brk id="46" max="16383" man="1"/>
    <brk id="112"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89A204D-B161-453F-8D2B-FADB9A8E47A5}">
          <x14:formula1>
            <xm:f>DAT!$J$2:$J$4</xm:f>
          </x14:formula1>
          <xm:sqref>G43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Y93"/>
  <sheetViews>
    <sheetView zoomScale="85" zoomScaleNormal="85" workbookViewId="0">
      <selection activeCell="W10" sqref="W10"/>
    </sheetView>
  </sheetViews>
  <sheetFormatPr defaultColWidth="9.08984375" defaultRowHeight="13" x14ac:dyDescent="0.3"/>
  <cols>
    <col min="1" max="1" width="16.90625" style="1" customWidth="1"/>
    <col min="2" max="2" width="18.54296875" style="1" customWidth="1"/>
    <col min="3" max="3" width="11.6328125" style="1" customWidth="1"/>
    <col min="4" max="4" width="14.6328125" style="1" customWidth="1"/>
    <col min="5" max="5" width="9.90625" style="1" customWidth="1"/>
    <col min="6" max="6" width="9.453125" style="1" customWidth="1"/>
    <col min="7" max="7" width="10.90625" style="1" customWidth="1"/>
    <col min="8" max="8" width="10.6328125" style="1" customWidth="1"/>
    <col min="9" max="9" width="11.08984375" style="1" customWidth="1"/>
    <col min="10" max="10" width="20.36328125" style="1" customWidth="1"/>
    <col min="11" max="11" width="16" style="1" customWidth="1"/>
    <col min="12" max="12" width="17.54296875" style="1" customWidth="1"/>
    <col min="13" max="13" width="12.90625" style="1" customWidth="1"/>
    <col min="14" max="14" width="10" style="1" bestFit="1" customWidth="1"/>
    <col min="15" max="15" width="11" style="1" bestFit="1" customWidth="1"/>
    <col min="16" max="16" width="10.6328125" style="1" customWidth="1"/>
    <col min="17" max="17" width="11.453125" style="1" customWidth="1"/>
    <col min="18" max="16384" width="9.08984375" style="1"/>
  </cols>
  <sheetData>
    <row r="1" spans="1:25" ht="14.5" x14ac:dyDescent="0.35">
      <c r="A1" s="193" t="s">
        <v>368</v>
      </c>
    </row>
    <row r="2" spans="1:25" ht="14.5" x14ac:dyDescent="0.35">
      <c r="A2" s="143" t="s">
        <v>369</v>
      </c>
    </row>
    <row r="3" spans="1:25" ht="14.5" x14ac:dyDescent="0.35">
      <c r="A3" s="143" t="s">
        <v>377</v>
      </c>
    </row>
    <row r="5" spans="1:25" ht="18.5" x14ac:dyDescent="0.45">
      <c r="A5" s="150" t="s">
        <v>167</v>
      </c>
      <c r="B5" s="97"/>
      <c r="C5" s="97"/>
      <c r="D5" s="97"/>
      <c r="E5" s="97"/>
      <c r="F5" s="97"/>
      <c r="G5" s="97"/>
      <c r="H5" s="97"/>
      <c r="I5" s="97"/>
      <c r="J5" s="97"/>
      <c r="K5" s="97"/>
      <c r="L5" s="97"/>
      <c r="M5" s="97"/>
      <c r="N5" s="97"/>
      <c r="O5" s="97"/>
      <c r="P5" s="97"/>
      <c r="Q5" s="97"/>
      <c r="R5" s="97"/>
      <c r="S5" s="97"/>
      <c r="T5" s="97"/>
      <c r="U5" s="97"/>
      <c r="V5" s="97"/>
      <c r="W5" s="97"/>
      <c r="X5" s="97"/>
      <c r="Y5" s="97"/>
    </row>
    <row r="6" spans="1:25" ht="15.5" x14ac:dyDescent="0.35">
      <c r="A6" s="119"/>
      <c r="B6" s="97"/>
      <c r="C6" s="97"/>
      <c r="D6" s="97"/>
      <c r="E6" s="97"/>
      <c r="F6" s="97"/>
      <c r="G6" s="97"/>
      <c r="H6" s="97"/>
      <c r="I6" s="97"/>
      <c r="J6" s="97"/>
      <c r="K6" s="97"/>
      <c r="L6" s="97"/>
      <c r="M6" s="97"/>
      <c r="N6" s="97"/>
      <c r="O6" s="97"/>
      <c r="P6" s="97"/>
      <c r="Q6" s="97"/>
      <c r="R6" s="97"/>
      <c r="S6" s="97"/>
      <c r="T6" s="97"/>
      <c r="U6" s="97"/>
      <c r="V6" s="97"/>
      <c r="W6" s="97"/>
      <c r="X6" s="97"/>
      <c r="Y6" s="97"/>
    </row>
    <row r="7" spans="1:25" x14ac:dyDescent="0.3">
      <c r="A7" s="97"/>
      <c r="B7" s="97"/>
      <c r="C7" s="97"/>
      <c r="D7" s="97"/>
      <c r="E7" s="97"/>
      <c r="F7" s="97"/>
      <c r="G7" s="97"/>
      <c r="H7" s="97"/>
      <c r="I7" s="15" t="s">
        <v>125</v>
      </c>
      <c r="J7" s="69" t="s">
        <v>135</v>
      </c>
      <c r="K7" s="115"/>
      <c r="M7" s="97"/>
      <c r="N7" s="97"/>
      <c r="O7" s="97"/>
      <c r="P7" s="97"/>
      <c r="Q7" s="97"/>
      <c r="R7" s="97"/>
      <c r="S7" s="97"/>
      <c r="T7" s="97"/>
      <c r="U7" s="97"/>
      <c r="V7" s="97"/>
      <c r="W7" s="97"/>
      <c r="X7" s="97"/>
      <c r="Y7" s="97"/>
    </row>
    <row r="8" spans="1:25" x14ac:dyDescent="0.3">
      <c r="A8" s="97"/>
      <c r="B8" s="97"/>
      <c r="C8" s="97"/>
      <c r="D8" s="97"/>
      <c r="E8" s="97"/>
      <c r="F8" s="97"/>
      <c r="G8" s="97"/>
      <c r="H8" s="97"/>
      <c r="I8" s="15"/>
      <c r="J8" s="353" t="s">
        <v>126</v>
      </c>
      <c r="K8" s="353"/>
      <c r="L8" s="2" t="s">
        <v>200</v>
      </c>
      <c r="M8" s="160"/>
      <c r="N8" s="97"/>
      <c r="O8" s="115"/>
      <c r="X8" s="97"/>
    </row>
    <row r="9" spans="1:25" ht="41.25" customHeight="1" x14ac:dyDescent="0.3">
      <c r="A9" s="97"/>
      <c r="B9" s="97"/>
      <c r="C9" s="97"/>
      <c r="D9" s="97"/>
      <c r="E9" s="97"/>
      <c r="F9" s="97"/>
      <c r="G9" s="97"/>
      <c r="H9" s="97"/>
      <c r="I9" s="15"/>
      <c r="J9" s="82" t="s">
        <v>294</v>
      </c>
      <c r="K9" s="82" t="s">
        <v>295</v>
      </c>
      <c r="L9" s="82" t="s">
        <v>314</v>
      </c>
      <c r="M9" s="82" t="s">
        <v>315</v>
      </c>
      <c r="N9" s="97"/>
      <c r="O9" s="115"/>
      <c r="X9" s="97"/>
    </row>
    <row r="10" spans="1:25" x14ac:dyDescent="0.3">
      <c r="A10" s="97"/>
      <c r="B10" s="97"/>
      <c r="C10" s="97"/>
      <c r="D10" s="97"/>
      <c r="E10" s="97"/>
      <c r="F10" s="97"/>
      <c r="G10" s="97"/>
      <c r="H10" s="97"/>
      <c r="J10" s="160" t="s">
        <v>120</v>
      </c>
      <c r="K10" s="160" t="s">
        <v>120</v>
      </c>
      <c r="L10" s="207" t="s">
        <v>120</v>
      </c>
      <c r="M10" s="207" t="s">
        <v>120</v>
      </c>
    </row>
    <row r="11" spans="1:25" x14ac:dyDescent="0.3">
      <c r="A11" s="97"/>
      <c r="B11" s="97"/>
      <c r="C11" s="97"/>
      <c r="D11" s="97"/>
      <c r="E11" s="97"/>
      <c r="F11" s="97"/>
      <c r="G11" s="97"/>
      <c r="H11" s="97"/>
      <c r="I11" s="24" t="s">
        <v>131</v>
      </c>
      <c r="J11" s="97">
        <f>'Rekentool luchtgerelateerde Em'!G34*'Rekentool luchtgerelateerde Em'!D57/1000</f>
        <v>2469402.1785714286</v>
      </c>
      <c r="K11" s="97">
        <f>('Rekentool luchtgerelateerde Em'!G34*'Rekentool luchtgerelateerde Em'!D56/1000-'Rekentool luchtgerelateerde Em'!D86)*'Rekentool luchtgerelateerde Em'!D55</f>
        <v>3943869.2225428573</v>
      </c>
      <c r="L11" s="115">
        <f>'Rekentool luchtgerelateerde Em'!D86</f>
        <v>30965.594399999998</v>
      </c>
      <c r="M11" s="115"/>
    </row>
    <row r="12" spans="1:25" x14ac:dyDescent="0.3">
      <c r="I12" s="116" t="s">
        <v>340</v>
      </c>
      <c r="J12" s="97">
        <f>'Rekentool luchtgerelateerde Em'!G35*'Rekentool luchtgerelateerde Em'!D57/1000</f>
        <v>78375</v>
      </c>
      <c r="K12" s="97">
        <f>('Rekentool luchtgerelateerde Em'!G35*'Rekentool luchtgerelateerde Em'!D56/1000-'Rekentool luchtgerelateerde Em'!D87)*'Rekentool luchtgerelateerde Em'!D55</f>
        <v>125715.15</v>
      </c>
      <c r="L12" s="115">
        <f>'Rekentool luchtgerelateerde Em'!D87</f>
        <v>785.4</v>
      </c>
      <c r="M12" s="115"/>
    </row>
    <row r="13" spans="1:25" x14ac:dyDescent="0.3">
      <c r="I13" s="24" t="s">
        <v>132</v>
      </c>
      <c r="J13" s="97">
        <f>'Rekentool luchtgerelateerde Em'!G37*'Rekentool luchtgerelateerde Em'!D57/1000</f>
        <v>373214.28571428574</v>
      </c>
      <c r="K13" s="97"/>
      <c r="M13" s="115">
        <f>'Rekentool luchtgerelateerde Em'!G37*'Rekentool luchtgerelateerde Em'!D56/1000</f>
        <v>221428.57142857142</v>
      </c>
    </row>
    <row r="14" spans="1:25" x14ac:dyDescent="0.3">
      <c r="I14" s="24" t="s">
        <v>581</v>
      </c>
      <c r="J14" s="97">
        <f>'Rekentool luchtgerelateerde Em'!G44*-1000</f>
        <v>-2000</v>
      </c>
      <c r="K14" s="97"/>
      <c r="M14" s="115"/>
    </row>
    <row r="15" spans="1:25" x14ac:dyDescent="0.3">
      <c r="I15" s="24" t="s">
        <v>338</v>
      </c>
      <c r="J15" s="97">
        <f>'Rekentool luchtgerelateerde Em'!G38*'Rekentool luchtgerelateerde Em'!D57/1000</f>
        <v>74642.857142857145</v>
      </c>
      <c r="K15" s="97"/>
      <c r="M15" s="115">
        <f>'Rekentool luchtgerelateerde Em'!G38*'Rekentool luchtgerelateerde Em'!D56/1000</f>
        <v>44285.71428571429</v>
      </c>
    </row>
    <row r="16" spans="1:25" ht="13.5" thickBot="1" x14ac:dyDescent="0.35">
      <c r="I16" s="24" t="s">
        <v>133</v>
      </c>
      <c r="J16" s="97">
        <f>'Rekentool luchtgerelateerde Em'!G36*'Rekentool luchtgerelateerde Em'!D57/1000</f>
        <v>74.642857142857139</v>
      </c>
      <c r="K16" s="97">
        <v>0</v>
      </c>
      <c r="L16" s="115">
        <f>'Rekentool luchtgerelateerde Em'!D88</f>
        <v>44.285714285714292</v>
      </c>
      <c r="M16" s="115"/>
    </row>
    <row r="17" spans="1:14" ht="13.5" thickTop="1" x14ac:dyDescent="0.3">
      <c r="I17" s="1" t="s">
        <v>128</v>
      </c>
      <c r="J17" s="122">
        <f>SUM(J11:J16)</f>
        <v>2993708.9642857146</v>
      </c>
      <c r="K17" s="122">
        <f>SUM(K11:K16)</f>
        <v>4069584.3725428572</v>
      </c>
      <c r="L17" s="118">
        <f>SUM(L11:L16)</f>
        <v>31795.280114285713</v>
      </c>
      <c r="M17" s="118">
        <f>SUM(M11:M16)</f>
        <v>265714.28571428568</v>
      </c>
    </row>
    <row r="18" spans="1:14" x14ac:dyDescent="0.3">
      <c r="J18" s="115"/>
      <c r="K18" s="115"/>
      <c r="L18" s="13"/>
      <c r="M18" s="13"/>
    </row>
    <row r="19" spans="1:14" x14ac:dyDescent="0.3">
      <c r="I19" s="24"/>
      <c r="K19" s="24"/>
    </row>
    <row r="20" spans="1:14" x14ac:dyDescent="0.3">
      <c r="C20" s="15" t="s">
        <v>125</v>
      </c>
      <c r="D20" s="69" t="s">
        <v>130</v>
      </c>
    </row>
    <row r="21" spans="1:14" ht="52" x14ac:dyDescent="0.3">
      <c r="C21" s="123" t="s">
        <v>126</v>
      </c>
      <c r="D21" s="82" t="s">
        <v>199</v>
      </c>
      <c r="E21" s="123" t="s">
        <v>127</v>
      </c>
      <c r="F21" s="123"/>
    </row>
    <row r="22" spans="1:14" x14ac:dyDescent="0.3">
      <c r="C22" s="160" t="s">
        <v>201</v>
      </c>
      <c r="D22" s="160" t="s">
        <v>202</v>
      </c>
      <c r="E22" s="160" t="s">
        <v>203</v>
      </c>
      <c r="F22" s="160"/>
    </row>
    <row r="23" spans="1:14" x14ac:dyDescent="0.3">
      <c r="C23" s="152">
        <f>L73</f>
        <v>6925219.3741751127</v>
      </c>
      <c r="D23" s="151">
        <f>G46</f>
        <v>5771016.1451459276</v>
      </c>
      <c r="E23" s="151">
        <f>'Rekentool luchtgerelateerde Em'!D84</f>
        <v>49992.233588594449</v>
      </c>
      <c r="F23" s="151"/>
    </row>
    <row r="24" spans="1:14" x14ac:dyDescent="0.3">
      <c r="J24" s="61" t="s">
        <v>136</v>
      </c>
      <c r="K24" s="160" t="s">
        <v>126</v>
      </c>
      <c r="L24" s="160" t="s">
        <v>127</v>
      </c>
      <c r="M24" s="160"/>
    </row>
    <row r="25" spans="1:14" x14ac:dyDescent="0.3">
      <c r="E25" s="95"/>
      <c r="K25" s="160" t="s">
        <v>120</v>
      </c>
      <c r="L25" s="160" t="s">
        <v>120</v>
      </c>
      <c r="M25" s="160"/>
    </row>
    <row r="26" spans="1:14" x14ac:dyDescent="0.3">
      <c r="K26" s="115">
        <f>'Rekentool luchtgerelateerde Em'!G39*'Rekentool luchtgerelateerde Em'!D57/1000</f>
        <v>2995708.9642857141</v>
      </c>
      <c r="L26" s="115">
        <f>'Rekentool luchtgerelateerde Em'!G39*'Rekentool luchtgerelateerde Em'!D56/1000</f>
        <v>1777358.4285714289</v>
      </c>
      <c r="M26" s="115"/>
    </row>
    <row r="27" spans="1:14" x14ac:dyDescent="0.3">
      <c r="G27" s="15" t="s">
        <v>151</v>
      </c>
    </row>
    <row r="28" spans="1:14" x14ac:dyDescent="0.3">
      <c r="A28" s="15" t="s">
        <v>118</v>
      </c>
      <c r="B28" s="24" t="s">
        <v>150</v>
      </c>
      <c r="G28" s="151">
        <f>G45</f>
        <v>8807988.8548540734</v>
      </c>
      <c r="H28" s="160" t="s">
        <v>29</v>
      </c>
      <c r="M28" s="69" t="s">
        <v>129</v>
      </c>
    </row>
    <row r="29" spans="1:14" x14ac:dyDescent="0.3">
      <c r="A29" s="1" t="s">
        <v>121</v>
      </c>
      <c r="B29" s="115">
        <f>'Rekentool luchtgerelateerde Em'!G14</f>
        <v>14778120</v>
      </c>
      <c r="G29" s="151">
        <f>G28/'Rekentool luchtgerelateerde Em'!D50</f>
        <v>6291420.6106100529</v>
      </c>
      <c r="H29" s="160" t="s">
        <v>152</v>
      </c>
      <c r="M29" s="1" t="s">
        <v>127</v>
      </c>
    </row>
    <row r="30" spans="1:14" x14ac:dyDescent="0.3">
      <c r="A30" s="1" t="s">
        <v>122</v>
      </c>
      <c r="B30" s="115">
        <f>'Rekentool luchtgerelateerde Em'!G17+'Rekentool luchtgerelateerde Em'!G18</f>
        <v>35500</v>
      </c>
      <c r="M30" s="160" t="s">
        <v>120</v>
      </c>
      <c r="N30" s="160"/>
    </row>
    <row r="31" spans="1:14" x14ac:dyDescent="0.3">
      <c r="A31" s="1" t="s">
        <v>123</v>
      </c>
      <c r="B31" s="115">
        <f>'Rekentool luchtgerelateerde Em'!G15+'Rekentool luchtgerelateerde Em'!G16</f>
        <v>659999.99999999988</v>
      </c>
      <c r="M31" s="115">
        <f>'Rekentool luchtgerelateerde Em'!D85</f>
        <v>8000</v>
      </c>
      <c r="N31" s="115"/>
    </row>
    <row r="32" spans="1:14" ht="13.5" thickBot="1" x14ac:dyDescent="0.35">
      <c r="A32" s="1" t="s">
        <v>124</v>
      </c>
      <c r="B32" s="115">
        <f>'Rekentool luchtgerelateerde Em'!G19</f>
        <v>0</v>
      </c>
      <c r="G32" s="115"/>
    </row>
    <row r="33" spans="1:15" ht="13.5" thickTop="1" x14ac:dyDescent="0.3">
      <c r="A33" s="1" t="s">
        <v>128</v>
      </c>
      <c r="B33" s="118">
        <f>'Rekentool luchtgerelateerde Em'!G21</f>
        <v>15473620</v>
      </c>
    </row>
    <row r="37" spans="1:15" x14ac:dyDescent="0.3">
      <c r="D37" s="61" t="s">
        <v>125</v>
      </c>
      <c r="E37" s="24" t="s">
        <v>119</v>
      </c>
      <c r="H37" s="61" t="s">
        <v>118</v>
      </c>
      <c r="I37" s="1" t="s">
        <v>479</v>
      </c>
      <c r="K37" s="61" t="s">
        <v>125</v>
      </c>
      <c r="L37" s="1" t="s">
        <v>479</v>
      </c>
    </row>
    <row r="38" spans="1:15" x14ac:dyDescent="0.3">
      <c r="D38" s="24"/>
      <c r="E38" s="160" t="s">
        <v>202</v>
      </c>
      <c r="H38" s="24" t="s">
        <v>134</v>
      </c>
      <c r="I38" s="115">
        <f>'Rekentool luchtgerelateerde Em'!G24+'Rekentool luchtgerelateerde Em'!G25</f>
        <v>2521774.7999999998</v>
      </c>
      <c r="J38" s="2" t="s">
        <v>29</v>
      </c>
      <c r="K38" s="24" t="s">
        <v>123</v>
      </c>
      <c r="L38" s="115">
        <f>'Rekentool luchtgerelateerde Em'!G31</f>
        <v>4730656.5599999996</v>
      </c>
      <c r="M38" s="2" t="s">
        <v>29</v>
      </c>
    </row>
    <row r="39" spans="1:15" x14ac:dyDescent="0.3">
      <c r="D39" s="24" t="s">
        <v>106</v>
      </c>
      <c r="E39" s="115">
        <f>'Rekentool luchtgerelateerde Em'!G20</f>
        <v>894615</v>
      </c>
      <c r="H39" s="24" t="s">
        <v>134</v>
      </c>
      <c r="I39" s="151">
        <f>I38/'Rekentool luchtgerelateerde Em'!D50</f>
        <v>1801267.7142857143</v>
      </c>
      <c r="J39" s="2" t="s">
        <v>152</v>
      </c>
      <c r="K39" s="24" t="s">
        <v>123</v>
      </c>
      <c r="L39" s="151">
        <f>L38/'Rekentool luchtgerelateerde Em'!D50</f>
        <v>3379040.4</v>
      </c>
      <c r="M39" s="2" t="s">
        <v>152</v>
      </c>
    </row>
    <row r="40" spans="1:15" x14ac:dyDescent="0.3">
      <c r="H40" s="24"/>
      <c r="L40" s="24"/>
    </row>
    <row r="42" spans="1:15" ht="15.5" x14ac:dyDescent="0.35">
      <c r="A42" s="130" t="s">
        <v>197</v>
      </c>
      <c r="B42" s="131"/>
      <c r="C42" s="131"/>
      <c r="D42" s="131"/>
      <c r="E42" s="131"/>
      <c r="F42" s="131"/>
      <c r="G42" s="132"/>
      <c r="I42" s="172"/>
    </row>
    <row r="43" spans="1:15" x14ac:dyDescent="0.3">
      <c r="A43" s="133"/>
      <c r="B43" s="140" t="s">
        <v>148</v>
      </c>
      <c r="G43" s="134" t="s">
        <v>149</v>
      </c>
      <c r="K43" s="15"/>
      <c r="O43" s="15"/>
    </row>
    <row r="44" spans="1:15" x14ac:dyDescent="0.3">
      <c r="A44" s="170" t="s">
        <v>121</v>
      </c>
      <c r="B44" s="141">
        <f>K80</f>
        <v>14778120</v>
      </c>
      <c r="F44" s="24" t="s">
        <v>160</v>
      </c>
      <c r="G44" s="137">
        <f>K87</f>
        <v>894615</v>
      </c>
      <c r="J44" s="135"/>
      <c r="K44" s="136"/>
      <c r="N44" s="24"/>
      <c r="O44" s="115"/>
    </row>
    <row r="45" spans="1:15" x14ac:dyDescent="0.3">
      <c r="A45" s="170" t="s">
        <v>122</v>
      </c>
      <c r="B45" s="141">
        <f>K81</f>
        <v>35500</v>
      </c>
      <c r="F45" s="135" t="s">
        <v>206</v>
      </c>
      <c r="G45" s="142">
        <f>K89</f>
        <v>8807988.8548540734</v>
      </c>
      <c r="J45" s="24"/>
      <c r="K45" s="115"/>
      <c r="N45" s="24"/>
      <c r="O45" s="115"/>
    </row>
    <row r="46" spans="1:15" x14ac:dyDescent="0.3">
      <c r="A46" s="170" t="s">
        <v>123</v>
      </c>
      <c r="B46" s="141">
        <f>K82</f>
        <v>659999.99999999988</v>
      </c>
      <c r="F46" s="135" t="s">
        <v>198</v>
      </c>
      <c r="G46" s="142">
        <f>K88</f>
        <v>5771016.1451459276</v>
      </c>
      <c r="K46" s="13"/>
      <c r="N46" s="24"/>
      <c r="O46" s="115"/>
    </row>
    <row r="47" spans="1:15" ht="13.5" thickBot="1" x14ac:dyDescent="0.35">
      <c r="A47" s="170" t="s">
        <v>159</v>
      </c>
      <c r="B47" s="141">
        <f>K83</f>
        <v>0</v>
      </c>
      <c r="F47" s="24"/>
      <c r="G47" s="137"/>
      <c r="O47" s="13"/>
    </row>
    <row r="48" spans="1:15" ht="13.5" thickTop="1" x14ac:dyDescent="0.3">
      <c r="A48" s="138" t="s">
        <v>128</v>
      </c>
      <c r="B48" s="169">
        <f>SUM(B44:B47)</f>
        <v>15473620</v>
      </c>
      <c r="C48" s="139"/>
      <c r="D48" s="139"/>
      <c r="E48" s="139"/>
      <c r="F48" s="139" t="s">
        <v>128</v>
      </c>
      <c r="G48" s="171">
        <f>SUM(G44:G47)</f>
        <v>15473620</v>
      </c>
      <c r="H48" s="133"/>
    </row>
    <row r="49" spans="1:12" x14ac:dyDescent="0.3">
      <c r="B49" s="131"/>
      <c r="C49" s="131"/>
      <c r="D49" s="131"/>
      <c r="E49" s="131"/>
      <c r="F49" s="131"/>
      <c r="G49" s="131"/>
    </row>
    <row r="52" spans="1:12" ht="29" x14ac:dyDescent="0.45">
      <c r="A52" s="150" t="s">
        <v>191</v>
      </c>
      <c r="B52" s="161"/>
      <c r="C52" s="144"/>
      <c r="D52" s="144"/>
      <c r="E52" s="143"/>
      <c r="F52" s="143"/>
      <c r="G52" s="143"/>
      <c r="J52" s="143"/>
      <c r="K52" s="274" t="s">
        <v>193</v>
      </c>
      <c r="L52" s="274" t="s">
        <v>194</v>
      </c>
    </row>
    <row r="53" spans="1:12" ht="14.5" x14ac:dyDescent="0.35">
      <c r="A53" s="352" t="s">
        <v>174</v>
      </c>
      <c r="B53" s="352"/>
      <c r="C53" s="352"/>
      <c r="D53" s="352"/>
      <c r="E53" s="352"/>
      <c r="F53" s="352"/>
      <c r="G53" s="143"/>
      <c r="H53" s="143"/>
      <c r="I53" s="143"/>
      <c r="J53" s="143"/>
      <c r="K53" s="148"/>
      <c r="L53" s="143"/>
    </row>
    <row r="54" spans="1:12" ht="14.5" x14ac:dyDescent="0.35">
      <c r="A54" s="350" t="s">
        <v>109</v>
      </c>
      <c r="B54" s="350"/>
      <c r="C54" s="350"/>
      <c r="D54" s="350"/>
      <c r="E54" s="350"/>
      <c r="F54" s="350"/>
      <c r="G54" s="350"/>
      <c r="H54" s="350"/>
      <c r="I54" s="350"/>
      <c r="J54" s="350"/>
      <c r="K54" s="146">
        <f>'Rekentool luchtgerelateerde Em'!G14</f>
        <v>14778120</v>
      </c>
      <c r="L54" s="273">
        <f>K54*'Rekentool luchtgerelateerde Em'!D51</f>
        <v>17733744</v>
      </c>
    </row>
    <row r="55" spans="1:12" ht="15" customHeight="1" x14ac:dyDescent="0.35">
      <c r="A55" s="350" t="s">
        <v>111</v>
      </c>
      <c r="B55" s="350"/>
      <c r="C55" s="350"/>
      <c r="D55" s="350"/>
      <c r="E55" s="350"/>
      <c r="F55" s="350"/>
      <c r="G55" s="350"/>
      <c r="H55" s="350"/>
      <c r="I55" s="350"/>
      <c r="J55" s="350"/>
      <c r="K55" s="146">
        <f>'Rekentool luchtgerelateerde Em'!G17+'Rekentool luchtgerelateerde Em'!G18</f>
        <v>35500</v>
      </c>
      <c r="L55" s="273">
        <f>K55*'Rekentool luchtgerelateerde Em'!D51</f>
        <v>42600</v>
      </c>
    </row>
    <row r="56" spans="1:12" ht="15" customHeight="1" x14ac:dyDescent="0.35">
      <c r="A56" s="350" t="s">
        <v>110</v>
      </c>
      <c r="B56" s="350"/>
      <c r="C56" s="350"/>
      <c r="D56" s="350"/>
      <c r="E56" s="350"/>
      <c r="F56" s="350"/>
      <c r="G56" s="350"/>
      <c r="H56" s="350"/>
      <c r="I56" s="350"/>
      <c r="J56" s="350"/>
      <c r="K56" s="146">
        <f>'Rekentool luchtgerelateerde Em'!G15+'Rekentool luchtgerelateerde Em'!G16</f>
        <v>659999.99999999988</v>
      </c>
      <c r="L56" s="273">
        <f>K56*'Rekentool luchtgerelateerde Em'!D51</f>
        <v>791999.99999999988</v>
      </c>
    </row>
    <row r="57" spans="1:12" ht="15" customHeight="1" x14ac:dyDescent="0.35">
      <c r="A57" s="350" t="s">
        <v>112</v>
      </c>
      <c r="B57" s="350"/>
      <c r="C57" s="350"/>
      <c r="D57" s="350"/>
      <c r="E57" s="350"/>
      <c r="F57" s="350"/>
      <c r="G57" s="350"/>
      <c r="H57" s="350"/>
      <c r="I57" s="350"/>
      <c r="J57" s="350"/>
      <c r="K57" s="146">
        <f>'Rekentool luchtgerelateerde Em'!G19</f>
        <v>0</v>
      </c>
      <c r="L57" s="273">
        <f>'Rekentool luchtgerelateerde Em'!C19*'Rekentool luchtgerelateerde Em'!D52</f>
        <v>0</v>
      </c>
    </row>
    <row r="58" spans="1:12" ht="15.75" customHeight="1" thickBot="1" x14ac:dyDescent="0.4">
      <c r="A58" s="350" t="s">
        <v>153</v>
      </c>
      <c r="B58" s="350"/>
      <c r="C58" s="350"/>
      <c r="D58" s="350"/>
      <c r="E58" s="350"/>
      <c r="F58" s="350"/>
      <c r="G58" s="350"/>
      <c r="H58" s="350"/>
      <c r="I58" s="350"/>
      <c r="J58" s="350"/>
      <c r="K58" s="146">
        <f>'Rekentool luchtgerelateerde Em'!G26</f>
        <v>2521774.7999999998</v>
      </c>
      <c r="L58" s="273">
        <f>K58*'Rekentool luchtgerelateerde Em'!D51</f>
        <v>3026129.76</v>
      </c>
    </row>
    <row r="59" spans="1:12" ht="15" customHeight="1" x14ac:dyDescent="0.35">
      <c r="A59" s="351" t="s">
        <v>175</v>
      </c>
      <c r="B59" s="351"/>
      <c r="C59" s="351"/>
      <c r="D59" s="351"/>
      <c r="E59" s="351"/>
      <c r="F59" s="351"/>
      <c r="G59" s="351"/>
      <c r="H59" s="351"/>
      <c r="I59" s="351"/>
      <c r="J59" s="351"/>
      <c r="K59" s="147"/>
      <c r="L59" s="147">
        <f>SUM(L54:L58)</f>
        <v>21594473.759999998</v>
      </c>
    </row>
    <row r="60" spans="1:12" ht="14.5" x14ac:dyDescent="0.35">
      <c r="A60" s="162"/>
      <c r="B60" s="162"/>
      <c r="C60" s="162"/>
      <c r="D60" s="162"/>
      <c r="E60" s="162"/>
      <c r="F60" s="162"/>
      <c r="G60" s="162"/>
      <c r="H60" s="162"/>
      <c r="I60" s="162"/>
      <c r="J60" s="145"/>
      <c r="K60" s="146"/>
      <c r="L60" s="143"/>
    </row>
    <row r="61" spans="1:12" ht="27.65" customHeight="1" x14ac:dyDescent="0.35">
      <c r="A61" s="352" t="s">
        <v>176</v>
      </c>
      <c r="B61" s="352"/>
      <c r="C61" s="352"/>
      <c r="D61" s="352"/>
      <c r="E61" s="352"/>
      <c r="F61" s="352"/>
      <c r="G61" s="143"/>
      <c r="H61" s="143"/>
      <c r="I61" s="143"/>
      <c r="J61" s="145"/>
      <c r="K61" s="274" t="s">
        <v>193</v>
      </c>
      <c r="L61" s="274" t="s">
        <v>194</v>
      </c>
    </row>
    <row r="62" spans="1:12" ht="14.5" x14ac:dyDescent="0.35">
      <c r="A62" s="350" t="s">
        <v>106</v>
      </c>
      <c r="B62" s="350"/>
      <c r="C62" s="350"/>
      <c r="D62" s="350"/>
      <c r="E62" s="350"/>
      <c r="F62" s="350"/>
      <c r="G62" s="350"/>
      <c r="H62" s="350"/>
      <c r="I62" s="350"/>
      <c r="J62" s="350"/>
      <c r="K62" s="146">
        <f>'Rekentool luchtgerelateerde Em'!G20</f>
        <v>894615</v>
      </c>
      <c r="L62" s="273">
        <f>K62*'Rekentool luchtgerelateerde Em'!D51</f>
        <v>1073538</v>
      </c>
    </row>
    <row r="63" spans="1:12" ht="15" customHeight="1" x14ac:dyDescent="0.35">
      <c r="A63" s="350" t="s">
        <v>307</v>
      </c>
      <c r="B63" s="350"/>
      <c r="C63" s="350"/>
      <c r="D63" s="350"/>
      <c r="E63" s="350"/>
      <c r="F63" s="350"/>
      <c r="G63" s="350"/>
      <c r="H63" s="350"/>
      <c r="I63" s="350"/>
      <c r="J63" s="350"/>
      <c r="K63" s="146">
        <f>'Rekentool luchtgerelateerde Em'!G31</f>
        <v>4730656.5599999996</v>
      </c>
      <c r="L63" s="273">
        <f>K63*'Rekentool luchtgerelateerde Em'!D51</f>
        <v>5676787.8719999995</v>
      </c>
    </row>
    <row r="64" spans="1:12" ht="15" customHeight="1" x14ac:dyDescent="0.35">
      <c r="A64" s="350" t="s">
        <v>185</v>
      </c>
      <c r="B64" s="350"/>
      <c r="C64" s="350"/>
      <c r="D64" s="350"/>
      <c r="E64" s="350"/>
      <c r="F64" s="350"/>
      <c r="G64" s="350"/>
      <c r="H64" s="350"/>
      <c r="I64" s="350"/>
      <c r="J64" s="350"/>
      <c r="K64" s="168">
        <v>0</v>
      </c>
      <c r="L64" s="273">
        <f>'Rekentool luchtgerelateerde Em'!G39*'Rekentool luchtgerelateerde Em'!D57/1000</f>
        <v>2995708.9642857141</v>
      </c>
    </row>
    <row r="65" spans="1:21" ht="15.75" customHeight="1" thickBot="1" x14ac:dyDescent="0.4">
      <c r="A65" s="350" t="s">
        <v>186</v>
      </c>
      <c r="B65" s="350"/>
      <c r="C65" s="350"/>
      <c r="D65" s="350"/>
      <c r="E65" s="350"/>
      <c r="F65" s="350"/>
      <c r="G65" s="350"/>
      <c r="H65" s="350"/>
      <c r="I65" s="350"/>
      <c r="J65" s="350"/>
      <c r="K65" s="146">
        <f>'Rekentool luchtgerelateerde Em'!G39*'Rekentool luchtgerelateerde Em'!D56*'Rekentool luchtgerelateerde Em'!D53/1000</f>
        <v>7109433.7142857155</v>
      </c>
      <c r="L65" s="167">
        <f>'Rekentool luchtgerelateerde Em'!G39*'Rekentool luchtgerelateerde Em'!D56/1000*'Rekentool luchtgerelateerde Em'!D55</f>
        <v>4887735.6785714291</v>
      </c>
      <c r="M65" s="191"/>
      <c r="N65" s="191"/>
      <c r="O65" s="191"/>
      <c r="P65" s="191"/>
      <c r="Q65" s="191"/>
      <c r="R65" s="191"/>
      <c r="S65" s="191"/>
      <c r="T65" s="191"/>
      <c r="U65" s="191"/>
    </row>
    <row r="66" spans="1:21" ht="15" customHeight="1" x14ac:dyDescent="0.35">
      <c r="A66" s="351" t="s">
        <v>177</v>
      </c>
      <c r="B66" s="351"/>
      <c r="C66" s="351"/>
      <c r="D66" s="351"/>
      <c r="E66" s="351"/>
      <c r="F66" s="351"/>
      <c r="G66" s="351"/>
      <c r="H66" s="351"/>
      <c r="I66" s="351"/>
      <c r="J66" s="351"/>
      <c r="K66" s="147"/>
      <c r="L66" s="147">
        <f>SUM(L62:L65)</f>
        <v>14633770.514857143</v>
      </c>
    </row>
    <row r="67" spans="1:21" ht="14.5" x14ac:dyDescent="0.35">
      <c r="A67" s="162"/>
      <c r="B67" s="162"/>
      <c r="C67" s="162"/>
      <c r="D67" s="162"/>
      <c r="E67" s="162"/>
      <c r="F67" s="162"/>
      <c r="G67" s="143"/>
      <c r="H67" s="143"/>
      <c r="I67" s="143"/>
      <c r="J67" s="145"/>
      <c r="K67" s="146"/>
      <c r="L67" s="143"/>
    </row>
    <row r="68" spans="1:21" ht="14.5" x14ac:dyDescent="0.35">
      <c r="A68" s="352" t="s">
        <v>178</v>
      </c>
      <c r="B68" s="352"/>
      <c r="C68" s="352"/>
      <c r="D68" s="352"/>
      <c r="E68" s="352"/>
      <c r="F68" s="352"/>
      <c r="G68" s="352"/>
      <c r="H68" s="352"/>
      <c r="I68" s="352"/>
      <c r="J68" s="145"/>
      <c r="K68" s="166"/>
      <c r="L68" s="166">
        <f>L59-L66</f>
        <v>6960703.2451428548</v>
      </c>
    </row>
    <row r="69" spans="1:21" ht="14.5" x14ac:dyDescent="0.35">
      <c r="A69" s="350" t="s">
        <v>192</v>
      </c>
      <c r="B69" s="350"/>
      <c r="C69" s="350"/>
      <c r="D69" s="350"/>
      <c r="E69" s="350"/>
      <c r="F69" s="350"/>
      <c r="G69" s="350"/>
      <c r="H69" s="350"/>
      <c r="I69" s="350"/>
      <c r="J69" s="145"/>
      <c r="K69" s="146"/>
      <c r="L69" s="143"/>
    </row>
    <row r="70" spans="1:21" ht="15" customHeight="1" x14ac:dyDescent="0.35">
      <c r="A70" s="350" t="s">
        <v>482</v>
      </c>
      <c r="B70" s="350"/>
      <c r="C70" s="350"/>
      <c r="D70" s="350"/>
      <c r="E70" s="350"/>
      <c r="F70" s="350"/>
      <c r="G70" s="350"/>
      <c r="H70" s="350"/>
      <c r="I70" s="350"/>
      <c r="J70" s="350"/>
      <c r="K70" s="146"/>
      <c r="L70" s="143"/>
    </row>
    <row r="71" spans="1:21" ht="15" customHeight="1" x14ac:dyDescent="0.35">
      <c r="A71" s="350" t="s">
        <v>491</v>
      </c>
      <c r="B71" s="350"/>
      <c r="C71" s="350"/>
      <c r="D71" s="350"/>
      <c r="E71" s="350"/>
      <c r="F71" s="350"/>
      <c r="G71" s="350"/>
      <c r="H71" s="350"/>
      <c r="I71" s="350"/>
      <c r="J71" s="350"/>
      <c r="K71" s="146"/>
      <c r="L71" s="146">
        <f>'Rekentool luchtgerelateerde Em'!D67*'Rekentool luchtgerelateerde Em'!G28/1000*'Rekentool luchtgerelateerde Em'!D55</f>
        <v>22000</v>
      </c>
    </row>
    <row r="72" spans="1:21" ht="15" customHeight="1" x14ac:dyDescent="0.35">
      <c r="A72" s="350" t="s">
        <v>492</v>
      </c>
      <c r="B72" s="350"/>
      <c r="C72" s="350"/>
      <c r="D72" s="350"/>
      <c r="E72" s="350"/>
      <c r="F72" s="350"/>
      <c r="G72" s="350"/>
      <c r="H72" s="350"/>
      <c r="I72" s="350"/>
      <c r="J72" s="350"/>
      <c r="K72" s="168"/>
      <c r="L72" s="146">
        <f>'Rekentool luchtgerelateerde Em'!D67*'Rekentool luchtgerelateerde Em'!G28/1000*'Rekentool luchtgerelateerde Em'!D57/'Rekentool luchtgerelateerde Em'!D56</f>
        <v>13483.870967741936</v>
      </c>
    </row>
    <row r="73" spans="1:21" ht="15" customHeight="1" x14ac:dyDescent="0.35">
      <c r="A73" s="350" t="s">
        <v>493</v>
      </c>
      <c r="B73" s="350"/>
      <c r="C73" s="350"/>
      <c r="D73" s="350"/>
      <c r="E73" s="350"/>
      <c r="F73" s="350"/>
      <c r="G73" s="350"/>
      <c r="H73" s="350"/>
      <c r="I73" s="350"/>
      <c r="J73" s="350"/>
      <c r="K73" s="146"/>
      <c r="L73" s="149">
        <f>L68-SUM(L71:L72)</f>
        <v>6925219.3741751127</v>
      </c>
    </row>
    <row r="74" spans="1:21" ht="14.5" x14ac:dyDescent="0.35">
      <c r="A74" s="162"/>
      <c r="B74" s="162"/>
      <c r="C74" s="162"/>
      <c r="D74" s="162"/>
      <c r="E74" s="162"/>
      <c r="F74" s="162"/>
      <c r="G74" s="143"/>
      <c r="H74" s="143"/>
      <c r="I74" s="143"/>
      <c r="J74" s="145"/>
      <c r="K74" s="146"/>
      <c r="L74" s="146"/>
      <c r="N74" s="95"/>
    </row>
    <row r="75" spans="1:21" ht="29.25" customHeight="1" x14ac:dyDescent="0.35">
      <c r="A75" s="352" t="s">
        <v>339</v>
      </c>
      <c r="B75" s="352"/>
      <c r="C75" s="352"/>
      <c r="D75" s="352"/>
      <c r="E75" s="352"/>
      <c r="F75" s="352"/>
      <c r="G75" s="352"/>
      <c r="H75" s="352"/>
      <c r="I75" s="352"/>
      <c r="J75" s="352"/>
      <c r="K75" s="173">
        <f>L73/'Rekentool luchtgerelateerde Em'!D51</f>
        <v>5771016.1451459276</v>
      </c>
      <c r="L75" s="143"/>
      <c r="M75" s="95"/>
      <c r="N75" s="95"/>
    </row>
    <row r="76" spans="1:21" ht="15" customHeight="1" x14ac:dyDescent="0.35">
      <c r="A76" s="162"/>
      <c r="B76" s="162"/>
      <c r="C76" s="162"/>
      <c r="D76" s="162"/>
      <c r="E76" s="162"/>
      <c r="F76" s="162"/>
      <c r="G76" s="162"/>
      <c r="H76" s="162"/>
      <c r="I76" s="162"/>
      <c r="J76" s="162"/>
      <c r="K76" s="146"/>
      <c r="L76" s="146"/>
      <c r="N76" s="95"/>
    </row>
    <row r="77" spans="1:21" ht="15" customHeight="1" x14ac:dyDescent="0.45">
      <c r="A77" s="150" t="s">
        <v>195</v>
      </c>
      <c r="B77" s="150"/>
      <c r="C77" s="150"/>
      <c r="D77" s="150"/>
      <c r="E77" s="150"/>
      <c r="F77" s="150"/>
      <c r="G77" s="150"/>
      <c r="H77" s="150"/>
      <c r="I77" s="150"/>
      <c r="J77" s="145"/>
      <c r="K77" s="146"/>
      <c r="L77" s="146"/>
      <c r="N77" s="95"/>
    </row>
    <row r="78" spans="1:21" ht="14.5" x14ac:dyDescent="0.35">
      <c r="A78" s="350" t="s">
        <v>187</v>
      </c>
      <c r="B78" s="350"/>
      <c r="C78" s="350"/>
      <c r="D78" s="350"/>
      <c r="E78" s="350"/>
      <c r="F78" s="350"/>
      <c r="G78" s="350"/>
      <c r="H78" s="350"/>
      <c r="I78" s="350"/>
      <c r="J78" s="145"/>
      <c r="K78" s="146"/>
      <c r="L78" s="275"/>
      <c r="N78" s="95"/>
    </row>
    <row r="79" spans="1:21" ht="14.5" x14ac:dyDescent="0.35">
      <c r="A79" s="352" t="s">
        <v>154</v>
      </c>
      <c r="B79" s="352"/>
      <c r="C79" s="352"/>
      <c r="D79" s="352"/>
      <c r="E79" s="352"/>
      <c r="F79" s="352"/>
      <c r="G79" s="143"/>
      <c r="H79" s="143"/>
      <c r="I79" s="143"/>
      <c r="J79" s="143"/>
      <c r="K79" s="148"/>
    </row>
    <row r="80" spans="1:21" ht="14.5" x14ac:dyDescent="0.35">
      <c r="A80" s="350" t="s">
        <v>109</v>
      </c>
      <c r="B80" s="350"/>
      <c r="C80" s="350"/>
      <c r="D80" s="350"/>
      <c r="E80" s="350"/>
      <c r="F80" s="350"/>
      <c r="G80" s="350"/>
      <c r="H80" s="350"/>
      <c r="I80" s="350"/>
      <c r="J80" s="145" t="s">
        <v>29</v>
      </c>
      <c r="K80" s="146">
        <f>'Rekentool luchtgerelateerde Em'!G14</f>
        <v>14778120</v>
      </c>
      <c r="L80" s="146"/>
    </row>
    <row r="81" spans="1:12" ht="14.5" x14ac:dyDescent="0.35">
      <c r="A81" s="350" t="s">
        <v>111</v>
      </c>
      <c r="B81" s="350"/>
      <c r="C81" s="350"/>
      <c r="D81" s="350"/>
      <c r="E81" s="350"/>
      <c r="F81" s="350"/>
      <c r="G81" s="350"/>
      <c r="H81" s="350"/>
      <c r="I81" s="350"/>
      <c r="J81" s="145" t="s">
        <v>29</v>
      </c>
      <c r="K81" s="146">
        <f>'Rekentool luchtgerelateerde Em'!G17+'Rekentool luchtgerelateerde Em'!G18</f>
        <v>35500</v>
      </c>
      <c r="L81" s="1" t="s">
        <v>188</v>
      </c>
    </row>
    <row r="82" spans="1:12" ht="14.5" x14ac:dyDescent="0.35">
      <c r="A82" s="350" t="s">
        <v>110</v>
      </c>
      <c r="B82" s="350"/>
      <c r="C82" s="350"/>
      <c r="D82" s="350"/>
      <c r="E82" s="350"/>
      <c r="F82" s="350"/>
      <c r="G82" s="350"/>
      <c r="H82" s="350"/>
      <c r="I82" s="350"/>
      <c r="J82" s="145" t="s">
        <v>29</v>
      </c>
      <c r="K82" s="146">
        <f>'Rekentool luchtgerelateerde Em'!G15+'Rekentool luchtgerelateerde Em'!G16</f>
        <v>659999.99999999988</v>
      </c>
      <c r="L82" s="1" t="s">
        <v>188</v>
      </c>
    </row>
    <row r="83" spans="1:12" ht="15" thickBot="1" x14ac:dyDescent="0.4">
      <c r="A83" s="350" t="s">
        <v>112</v>
      </c>
      <c r="B83" s="350"/>
      <c r="C83" s="350"/>
      <c r="D83" s="350"/>
      <c r="E83" s="350"/>
      <c r="F83" s="350"/>
      <c r="G83" s="350"/>
      <c r="H83" s="350"/>
      <c r="I83" s="350"/>
      <c r="J83" s="145" t="s">
        <v>29</v>
      </c>
      <c r="K83" s="146">
        <f>'Rekentool luchtgerelateerde Em'!G19</f>
        <v>0</v>
      </c>
      <c r="L83" s="1" t="s">
        <v>188</v>
      </c>
    </row>
    <row r="84" spans="1:12" ht="14.5" x14ac:dyDescent="0.35">
      <c r="A84" s="351" t="s">
        <v>189</v>
      </c>
      <c r="B84" s="351"/>
      <c r="C84" s="351"/>
      <c r="D84" s="351"/>
      <c r="E84" s="351"/>
      <c r="F84" s="351"/>
      <c r="G84" s="351"/>
      <c r="H84" s="351"/>
      <c r="I84" s="351"/>
      <c r="J84" s="213" t="s">
        <v>29</v>
      </c>
      <c r="K84" s="147">
        <f>SUM(K79:K83)</f>
        <v>15473620</v>
      </c>
      <c r="L84" s="146"/>
    </row>
    <row r="85" spans="1:12" ht="14.5" x14ac:dyDescent="0.35">
      <c r="A85" s="162"/>
      <c r="B85" s="162"/>
      <c r="C85" s="162"/>
      <c r="D85" s="162"/>
      <c r="E85" s="162"/>
      <c r="F85" s="162"/>
      <c r="G85" s="162"/>
      <c r="H85" s="162"/>
      <c r="I85" s="162"/>
      <c r="J85" s="145"/>
      <c r="K85" s="145"/>
      <c r="L85" s="146"/>
    </row>
    <row r="86" spans="1:12" ht="14.5" x14ac:dyDescent="0.35">
      <c r="A86" s="352" t="s">
        <v>155</v>
      </c>
      <c r="B86" s="352"/>
      <c r="C86" s="352"/>
      <c r="D86" s="352"/>
      <c r="E86" s="352"/>
      <c r="F86" s="352"/>
      <c r="G86" s="162"/>
      <c r="H86" s="162"/>
      <c r="I86" s="162"/>
      <c r="J86" s="145"/>
      <c r="K86" s="145"/>
      <c r="L86" s="146"/>
    </row>
    <row r="87" spans="1:12" ht="14.5" x14ac:dyDescent="0.35">
      <c r="A87" s="350" t="s">
        <v>106</v>
      </c>
      <c r="B87" s="350"/>
      <c r="C87" s="350"/>
      <c r="D87" s="350"/>
      <c r="E87" s="350"/>
      <c r="F87" s="350"/>
      <c r="G87" s="350"/>
      <c r="H87" s="350"/>
      <c r="I87" s="350"/>
      <c r="J87" s="145" t="s">
        <v>29</v>
      </c>
      <c r="K87" s="146">
        <f>'Rekentool luchtgerelateerde Em'!G20</f>
        <v>894615</v>
      </c>
      <c r="L87" s="146"/>
    </row>
    <row r="88" spans="1:12" ht="14.5" x14ac:dyDescent="0.35">
      <c r="A88" s="350" t="s">
        <v>190</v>
      </c>
      <c r="B88" s="350"/>
      <c r="C88" s="350"/>
      <c r="D88" s="350"/>
      <c r="E88" s="350"/>
      <c r="F88" s="350"/>
      <c r="G88" s="350"/>
      <c r="H88" s="350"/>
      <c r="I88" s="350"/>
      <c r="J88" s="145" t="s">
        <v>29</v>
      </c>
      <c r="K88" s="146">
        <f>K75</f>
        <v>5771016.1451459276</v>
      </c>
      <c r="L88" s="146"/>
    </row>
    <row r="89" spans="1:12" ht="15" thickBot="1" x14ac:dyDescent="0.4">
      <c r="A89" s="350" t="s">
        <v>196</v>
      </c>
      <c r="B89" s="350"/>
      <c r="C89" s="350"/>
      <c r="D89" s="350"/>
      <c r="E89" s="350"/>
      <c r="F89" s="350"/>
      <c r="G89" s="350"/>
      <c r="H89" s="350"/>
      <c r="I89" s="350"/>
      <c r="J89" s="145" t="s">
        <v>29</v>
      </c>
      <c r="K89" s="149">
        <f>K84-K87-K88</f>
        <v>8807988.8548540734</v>
      </c>
      <c r="L89" s="149"/>
    </row>
    <row r="90" spans="1:12" ht="14.5" x14ac:dyDescent="0.35">
      <c r="A90" s="351" t="s">
        <v>316</v>
      </c>
      <c r="B90" s="351"/>
      <c r="C90" s="351"/>
      <c r="D90" s="351"/>
      <c r="E90" s="351"/>
      <c r="F90" s="351"/>
      <c r="G90" s="351"/>
      <c r="H90" s="351"/>
      <c r="I90" s="351"/>
      <c r="J90" s="213" t="s">
        <v>29</v>
      </c>
      <c r="K90" s="147">
        <f>SUM(K87:K89)</f>
        <v>15473620</v>
      </c>
      <c r="L90" s="146"/>
    </row>
    <row r="91" spans="1:12" ht="14.5" x14ac:dyDescent="0.35">
      <c r="A91" s="162"/>
      <c r="B91" s="162"/>
      <c r="C91" s="162"/>
      <c r="D91" s="162"/>
      <c r="E91" s="162"/>
      <c r="F91" s="162"/>
      <c r="G91" s="162"/>
      <c r="H91" s="162"/>
      <c r="I91" s="162"/>
      <c r="K91" s="145"/>
      <c r="L91" s="146"/>
    </row>
    <row r="92" spans="1:12" ht="14.5" x14ac:dyDescent="0.35">
      <c r="A92" s="162"/>
      <c r="B92" s="162"/>
      <c r="C92" s="162"/>
      <c r="D92" s="162"/>
      <c r="E92" s="162"/>
      <c r="F92" s="162"/>
      <c r="G92" s="162"/>
      <c r="H92" s="162"/>
      <c r="I92" s="162"/>
      <c r="K92" s="145"/>
      <c r="L92" s="146"/>
    </row>
    <row r="93" spans="1:12" ht="14.5" x14ac:dyDescent="0.35">
      <c r="A93" s="162"/>
      <c r="B93" s="162"/>
      <c r="C93" s="162"/>
      <c r="D93" s="162"/>
      <c r="E93" s="162"/>
      <c r="F93" s="162"/>
      <c r="G93" s="162"/>
      <c r="H93" s="162"/>
      <c r="I93" s="162"/>
      <c r="K93" s="145"/>
      <c r="L93" s="146"/>
    </row>
  </sheetData>
  <mergeCells count="33">
    <mergeCell ref="A70:J70"/>
    <mergeCell ref="A58:J58"/>
    <mergeCell ref="A59:J59"/>
    <mergeCell ref="A64:J64"/>
    <mergeCell ref="A65:J65"/>
    <mergeCell ref="A66:J66"/>
    <mergeCell ref="A61:F61"/>
    <mergeCell ref="A62:J62"/>
    <mergeCell ref="A63:J63"/>
    <mergeCell ref="J8:K8"/>
    <mergeCell ref="A79:F79"/>
    <mergeCell ref="A80:I80"/>
    <mergeCell ref="A82:I82"/>
    <mergeCell ref="A69:I69"/>
    <mergeCell ref="A53:F53"/>
    <mergeCell ref="A68:I68"/>
    <mergeCell ref="A78:I78"/>
    <mergeCell ref="A75:J75"/>
    <mergeCell ref="A71:J71"/>
    <mergeCell ref="A72:J72"/>
    <mergeCell ref="A73:J73"/>
    <mergeCell ref="A54:J54"/>
    <mergeCell ref="A55:J55"/>
    <mergeCell ref="A56:J56"/>
    <mergeCell ref="A57:J57"/>
    <mergeCell ref="A87:I87"/>
    <mergeCell ref="A81:I81"/>
    <mergeCell ref="A83:I83"/>
    <mergeCell ref="A88:I88"/>
    <mergeCell ref="A90:I90"/>
    <mergeCell ref="A89:I89"/>
    <mergeCell ref="A86:F86"/>
    <mergeCell ref="A84:I84"/>
  </mergeCells>
  <printOptions gridLines="1"/>
  <pageMargins left="0.35433070866141736" right="0.41" top="0.78740157480314965" bottom="0.74803149606299213" header="0.31496062992125984" footer="0.31496062992125984"/>
  <pageSetup paperSize="9" scale="70" fitToHeight="0" orientation="landscape" r:id="rId1"/>
  <headerFooter>
    <oddHeader>&amp;L&amp;"Calibri,Standaard"&amp;8CO2 en CZV-balans&amp;R&amp;"Calibri,Standaard"&amp;8Vereniging van Zuiveringbeheerders</oddHeader>
    <oddFooter>&amp;L&amp;"Calibri,Standaard"&amp;8Joop Baltussen
BACO-adviesbureau BV&amp;C&amp;"Calibri,Standaard"&amp;8Pagina &amp;P van &amp;N&amp;R&amp;"Calibri,Standaard"&amp;8Datum: 26-02-2016</oddFooter>
  </headerFooter>
  <rowBreaks count="1" manualBreakCount="1">
    <brk id="51" max="16383" man="1"/>
  </rowBreaks>
  <ignoredErrors>
    <ignoredError sqref="L57" 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999BD-A1A9-4A64-B13F-A1238A4D297E}">
  <sheetPr>
    <tabColor rgb="FFFF0000"/>
  </sheetPr>
  <dimension ref="A1:O82"/>
  <sheetViews>
    <sheetView topLeftCell="A25" zoomScaleNormal="100" workbookViewId="0">
      <selection activeCell="F66" sqref="F66"/>
    </sheetView>
  </sheetViews>
  <sheetFormatPr defaultColWidth="9.08984375" defaultRowHeight="14.5" x14ac:dyDescent="0.35"/>
  <cols>
    <col min="1" max="1" width="3.453125" style="143" customWidth="1"/>
    <col min="2" max="2" width="37.54296875" style="143" customWidth="1"/>
    <col min="3" max="3" width="11.08984375" style="143" customWidth="1"/>
    <col min="4" max="4" width="13.6328125" style="143" customWidth="1"/>
    <col min="5" max="5" width="9.08984375" style="143"/>
    <col min="6" max="6" width="23.08984375" style="143" customWidth="1"/>
    <col min="7" max="7" width="9.08984375" style="143"/>
    <col min="8" max="8" width="13.08984375" style="143" customWidth="1"/>
    <col min="9" max="9" width="12.08984375" style="143" customWidth="1"/>
    <col min="10" max="10" width="13" style="143" customWidth="1"/>
    <col min="11" max="16384" width="9.08984375" style="143"/>
  </cols>
  <sheetData>
    <row r="1" spans="1:15" ht="18.5" x14ac:dyDescent="0.45">
      <c r="A1" s="150" t="s">
        <v>385</v>
      </c>
    </row>
    <row r="2" spans="1:15" x14ac:dyDescent="0.35">
      <c r="A2" s="143" t="s">
        <v>370</v>
      </c>
    </row>
    <row r="4" spans="1:15" ht="18.5" x14ac:dyDescent="0.45">
      <c r="A4" s="150" t="s">
        <v>273</v>
      </c>
    </row>
    <row r="5" spans="1:15" x14ac:dyDescent="0.35">
      <c r="A5" s="193"/>
    </row>
    <row r="6" spans="1:15" x14ac:dyDescent="0.35">
      <c r="A6" s="212" t="s">
        <v>352</v>
      </c>
      <c r="B6" s="212"/>
      <c r="C6" s="212"/>
      <c r="D6" s="212"/>
      <c r="E6" s="212"/>
      <c r="F6" s="212"/>
    </row>
    <row r="7" spans="1:15" x14ac:dyDescent="0.35">
      <c r="A7" s="218" t="s">
        <v>353</v>
      </c>
      <c r="B7" s="218"/>
      <c r="C7" s="218"/>
    </row>
    <row r="8" spans="1:15" ht="15" thickBot="1" x14ac:dyDescent="0.4">
      <c r="A8" s="143" t="s">
        <v>354</v>
      </c>
    </row>
    <row r="9" spans="1:15" x14ac:dyDescent="0.35">
      <c r="A9" s="196" t="s">
        <v>272</v>
      </c>
      <c r="B9" s="197"/>
      <c r="C9" s="197"/>
      <c r="D9" s="197"/>
      <c r="E9" s="197"/>
      <c r="F9" s="197"/>
      <c r="G9" s="197"/>
      <c r="H9" s="197"/>
      <c r="I9" s="197"/>
      <c r="J9" s="197"/>
      <c r="K9" s="197"/>
      <c r="L9" s="197"/>
      <c r="M9" s="197"/>
      <c r="N9" s="197"/>
      <c r="O9" s="198"/>
    </row>
    <row r="10" spans="1:15" x14ac:dyDescent="0.35">
      <c r="A10" s="199"/>
      <c r="B10" s="143" t="s">
        <v>310</v>
      </c>
      <c r="C10" s="234" t="s">
        <v>259</v>
      </c>
      <c r="D10" s="212">
        <v>150</v>
      </c>
      <c r="E10" s="143" t="s">
        <v>247</v>
      </c>
      <c r="F10" s="143" t="s">
        <v>311</v>
      </c>
      <c r="O10" s="200"/>
    </row>
    <row r="11" spans="1:15" ht="16.5" x14ac:dyDescent="0.35">
      <c r="A11" s="199"/>
      <c r="B11" s="143" t="s">
        <v>264</v>
      </c>
      <c r="C11" s="234" t="s">
        <v>259</v>
      </c>
      <c r="D11" s="212">
        <v>40</v>
      </c>
      <c r="E11" s="143" t="s">
        <v>308</v>
      </c>
      <c r="F11" s="143" t="s">
        <v>266</v>
      </c>
      <c r="G11" s="143" t="s">
        <v>362</v>
      </c>
      <c r="O11" s="200"/>
    </row>
    <row r="12" spans="1:15" x14ac:dyDescent="0.35">
      <c r="A12" s="199"/>
      <c r="B12" s="143" t="s">
        <v>265</v>
      </c>
      <c r="C12" s="234" t="s">
        <v>259</v>
      </c>
      <c r="D12" s="212">
        <v>50</v>
      </c>
      <c r="E12" s="143" t="s">
        <v>324</v>
      </c>
      <c r="F12" s="143" t="s">
        <v>325</v>
      </c>
      <c r="G12" s="143" t="s">
        <v>362</v>
      </c>
      <c r="O12" s="200"/>
    </row>
    <row r="13" spans="1:15" ht="47.25" customHeight="1" x14ac:dyDescent="0.35">
      <c r="A13" s="199"/>
      <c r="B13" s="162" t="s">
        <v>330</v>
      </c>
      <c r="C13" s="235"/>
      <c r="D13" s="236">
        <f>(D12*0.998066*100+101325)/101325*(273.15/(273.15+D11))</f>
        <v>0.91522540735699054</v>
      </c>
      <c r="E13" s="237" t="s">
        <v>323</v>
      </c>
      <c r="O13" s="200"/>
    </row>
    <row r="14" spans="1:15" ht="47.25" customHeight="1" thickBot="1" x14ac:dyDescent="0.4">
      <c r="A14" s="201"/>
      <c r="B14" s="215" t="s">
        <v>322</v>
      </c>
      <c r="C14" s="216"/>
      <c r="D14" s="217">
        <f>D10*D13</f>
        <v>137.28381110354857</v>
      </c>
      <c r="E14" s="216" t="s">
        <v>248</v>
      </c>
      <c r="F14" s="354" t="s">
        <v>309</v>
      </c>
      <c r="G14" s="355"/>
      <c r="H14" s="355"/>
      <c r="I14" s="355"/>
      <c r="J14" s="355"/>
      <c r="K14" s="355"/>
      <c r="L14" s="355"/>
      <c r="M14" s="355"/>
      <c r="N14" s="355"/>
      <c r="O14" s="356"/>
    </row>
    <row r="15" spans="1:15" x14ac:dyDescent="0.35">
      <c r="A15" s="193"/>
    </row>
    <row r="16" spans="1:15" x14ac:dyDescent="0.35">
      <c r="A16" s="193" t="s">
        <v>267</v>
      </c>
    </row>
    <row r="17" spans="1:2" x14ac:dyDescent="0.35">
      <c r="A17" s="193"/>
      <c r="B17" s="143" t="s">
        <v>235</v>
      </c>
    </row>
    <row r="18" spans="1:2" x14ac:dyDescent="0.35">
      <c r="A18" s="193"/>
      <c r="B18" s="143" t="s">
        <v>275</v>
      </c>
    </row>
    <row r="19" spans="1:2" ht="16.5" x14ac:dyDescent="0.35">
      <c r="A19" s="193"/>
      <c r="B19" s="143" t="s">
        <v>276</v>
      </c>
    </row>
    <row r="20" spans="1:2" ht="16.5" x14ac:dyDescent="0.35">
      <c r="A20" s="193"/>
      <c r="B20" s="143" t="s">
        <v>238</v>
      </c>
    </row>
    <row r="21" spans="1:2" x14ac:dyDescent="0.35">
      <c r="A21" s="193"/>
      <c r="B21" s="143" t="s">
        <v>268</v>
      </c>
    </row>
    <row r="22" spans="1:2" x14ac:dyDescent="0.35">
      <c r="B22" s="143" t="s">
        <v>236</v>
      </c>
    </row>
    <row r="23" spans="1:2" x14ac:dyDescent="0.35">
      <c r="B23" s="143" t="s">
        <v>357</v>
      </c>
    </row>
    <row r="24" spans="1:2" x14ac:dyDescent="0.35">
      <c r="B24" s="143" t="s">
        <v>274</v>
      </c>
    </row>
    <row r="25" spans="1:2" ht="16.5" x14ac:dyDescent="0.35">
      <c r="B25" s="143" t="s">
        <v>358</v>
      </c>
    </row>
    <row r="26" spans="1:2" x14ac:dyDescent="0.35">
      <c r="B26" s="143" t="s">
        <v>386</v>
      </c>
    </row>
    <row r="28" spans="1:2" x14ac:dyDescent="0.35">
      <c r="A28" s="193" t="s">
        <v>269</v>
      </c>
    </row>
    <row r="29" spans="1:2" x14ac:dyDescent="0.35">
      <c r="B29" s="143" t="s">
        <v>237</v>
      </c>
    </row>
    <row r="30" spans="1:2" x14ac:dyDescent="0.35">
      <c r="B30" s="143" t="s">
        <v>359</v>
      </c>
    </row>
    <row r="31" spans="1:2" ht="16.5" x14ac:dyDescent="0.35">
      <c r="B31" s="143" t="s">
        <v>245</v>
      </c>
    </row>
    <row r="32" spans="1:2" ht="16.5" x14ac:dyDescent="0.35">
      <c r="B32" s="143" t="s">
        <v>246</v>
      </c>
    </row>
    <row r="33" spans="1:5" x14ac:dyDescent="0.35">
      <c r="B33" s="143" t="s">
        <v>331</v>
      </c>
    </row>
    <row r="34" spans="1:5" x14ac:dyDescent="0.35">
      <c r="B34" s="143" t="s">
        <v>270</v>
      </c>
    </row>
    <row r="35" spans="1:5" x14ac:dyDescent="0.35">
      <c r="B35" s="143" t="s">
        <v>258</v>
      </c>
    </row>
    <row r="36" spans="1:5" x14ac:dyDescent="0.35">
      <c r="B36" s="195" t="s">
        <v>360</v>
      </c>
    </row>
    <row r="37" spans="1:5" x14ac:dyDescent="0.35">
      <c r="B37" s="195" t="s">
        <v>329</v>
      </c>
    </row>
    <row r="38" spans="1:5" x14ac:dyDescent="0.35">
      <c r="B38" s="195" t="s">
        <v>271</v>
      </c>
    </row>
    <row r="40" spans="1:5" x14ac:dyDescent="0.35">
      <c r="A40" s="193" t="s">
        <v>249</v>
      </c>
    </row>
    <row r="41" spans="1:5" x14ac:dyDescent="0.35">
      <c r="B41" s="143" t="s">
        <v>277</v>
      </c>
    </row>
    <row r="42" spans="1:5" x14ac:dyDescent="0.35">
      <c r="B42" s="143" t="s">
        <v>250</v>
      </c>
    </row>
    <row r="43" spans="1:5" x14ac:dyDescent="0.35">
      <c r="B43" s="143" t="s">
        <v>251</v>
      </c>
      <c r="E43" s="193"/>
    </row>
    <row r="45" spans="1:5" x14ac:dyDescent="0.35">
      <c r="B45" s="143" t="s">
        <v>253</v>
      </c>
    </row>
    <row r="46" spans="1:5" x14ac:dyDescent="0.35">
      <c r="B46" s="143" t="s">
        <v>254</v>
      </c>
    </row>
    <row r="47" spans="1:5" x14ac:dyDescent="0.35">
      <c r="B47" s="143" t="s">
        <v>252</v>
      </c>
    </row>
    <row r="48" spans="1:5" x14ac:dyDescent="0.35">
      <c r="B48" s="143" t="s">
        <v>255</v>
      </c>
    </row>
    <row r="49" spans="1:10" x14ac:dyDescent="0.35">
      <c r="B49" s="143" t="s">
        <v>256</v>
      </c>
    </row>
    <row r="51" spans="1:10" x14ac:dyDescent="0.35">
      <c r="A51" s="143" t="s">
        <v>257</v>
      </c>
    </row>
    <row r="52" spans="1:10" x14ac:dyDescent="0.35">
      <c r="C52" s="193" t="s">
        <v>239</v>
      </c>
      <c r="F52" s="193" t="s">
        <v>240</v>
      </c>
    </row>
    <row r="53" spans="1:10" ht="27.5" x14ac:dyDescent="0.35">
      <c r="C53" s="238" t="s">
        <v>361</v>
      </c>
      <c r="D53" s="238" t="s">
        <v>278</v>
      </c>
      <c r="F53" s="238" t="s">
        <v>260</v>
      </c>
      <c r="G53" s="238" t="s">
        <v>241</v>
      </c>
      <c r="H53" s="238" t="s">
        <v>242</v>
      </c>
      <c r="I53" s="238" t="s">
        <v>243</v>
      </c>
      <c r="J53" s="238" t="s">
        <v>244</v>
      </c>
    </row>
    <row r="54" spans="1:10" x14ac:dyDescent="0.35">
      <c r="C54" s="143">
        <v>0</v>
      </c>
      <c r="D54" s="239">
        <f>(273.15+C54)/273.15</f>
        <v>1</v>
      </c>
      <c r="F54" s="143">
        <f t="shared" ref="F54:F78" si="0">1/D54</f>
        <v>1</v>
      </c>
      <c r="G54" s="143">
        <v>0</v>
      </c>
      <c r="H54" s="240">
        <f>G54/100*0.09980665</f>
        <v>0</v>
      </c>
      <c r="I54" s="194">
        <f>H54+1</f>
        <v>1</v>
      </c>
      <c r="J54" s="240">
        <f>(1.01324+H54)/1.01324</f>
        <v>1</v>
      </c>
    </row>
    <row r="55" spans="1:10" x14ac:dyDescent="0.35">
      <c r="C55" s="143">
        <v>5</v>
      </c>
      <c r="D55" s="239">
        <f t="shared" ref="D55:D78" si="1">(273.15+C55)/273.15</f>
        <v>1.0183049606443346</v>
      </c>
      <c r="F55" s="143">
        <f t="shared" si="0"/>
        <v>0.98202408772245187</v>
      </c>
      <c r="G55" s="143">
        <v>5</v>
      </c>
      <c r="H55" s="240">
        <f>G55/100*0.09980665</f>
        <v>4.9903324999999998E-3</v>
      </c>
      <c r="I55" s="194">
        <f t="shared" ref="I55:I78" si="2">H55+1</f>
        <v>1.0049903325</v>
      </c>
      <c r="J55" s="240">
        <f>(1.01324+H55)/1.01324</f>
        <v>1.0049251238600925</v>
      </c>
    </row>
    <row r="56" spans="1:10" x14ac:dyDescent="0.35">
      <c r="C56" s="143">
        <v>10</v>
      </c>
      <c r="D56" s="239">
        <f t="shared" si="1"/>
        <v>1.0366099212886692</v>
      </c>
      <c r="F56" s="143">
        <f t="shared" si="0"/>
        <v>0.96468303019600921</v>
      </c>
      <c r="G56" s="143">
        <v>10</v>
      </c>
      <c r="H56" s="240">
        <f t="shared" ref="H56:H78" si="3">G56/100*0.09980665</f>
        <v>9.9806649999999997E-3</v>
      </c>
      <c r="I56" s="194">
        <f t="shared" si="2"/>
        <v>1.0099806650000001</v>
      </c>
      <c r="J56" s="240">
        <f t="shared" ref="J56:J78" si="4">(1.01324+H56)/1.01324</f>
        <v>1.0098502477201847</v>
      </c>
    </row>
    <row r="57" spans="1:10" x14ac:dyDescent="0.35">
      <c r="C57" s="143">
        <v>15</v>
      </c>
      <c r="D57" s="239">
        <f t="shared" si="1"/>
        <v>1.0549148819330039</v>
      </c>
      <c r="F57" s="143">
        <f t="shared" si="0"/>
        <v>0.9479437792816241</v>
      </c>
      <c r="G57" s="143">
        <v>15</v>
      </c>
      <c r="H57" s="240">
        <f t="shared" si="3"/>
        <v>1.49709975E-2</v>
      </c>
      <c r="I57" s="194">
        <f t="shared" si="2"/>
        <v>1.0149709975000001</v>
      </c>
      <c r="J57" s="240">
        <f t="shared" si="4"/>
        <v>1.0147753715802772</v>
      </c>
    </row>
    <row r="58" spans="1:10" x14ac:dyDescent="0.35">
      <c r="C58" s="143">
        <v>20</v>
      </c>
      <c r="D58" s="239">
        <f t="shared" si="1"/>
        <v>1.0732198425773385</v>
      </c>
      <c r="F58" s="143">
        <f t="shared" si="0"/>
        <v>0.93177554153163911</v>
      </c>
      <c r="G58" s="143">
        <v>20</v>
      </c>
      <c r="H58" s="240">
        <f t="shared" si="3"/>
        <v>1.9961329999999999E-2</v>
      </c>
      <c r="I58" s="194">
        <f t="shared" si="2"/>
        <v>1.0199613300000001</v>
      </c>
      <c r="J58" s="240">
        <f t="shared" si="4"/>
        <v>1.0197004954403694</v>
      </c>
    </row>
    <row r="59" spans="1:10" x14ac:dyDescent="0.35">
      <c r="C59" s="143">
        <v>25</v>
      </c>
      <c r="D59" s="239">
        <f t="shared" si="1"/>
        <v>1.0915248032216731</v>
      </c>
      <c r="F59" s="143">
        <f t="shared" si="0"/>
        <v>0.91614958913298672</v>
      </c>
      <c r="G59" s="143">
        <v>25</v>
      </c>
      <c r="H59" s="240">
        <f t="shared" si="3"/>
        <v>2.4951662499999999E-2</v>
      </c>
      <c r="I59" s="194">
        <f t="shared" si="2"/>
        <v>1.0249516624999999</v>
      </c>
      <c r="J59" s="240">
        <f t="shared" si="4"/>
        <v>1.0246256193004617</v>
      </c>
    </row>
    <row r="60" spans="1:10" x14ac:dyDescent="0.35">
      <c r="C60" s="143">
        <v>30</v>
      </c>
      <c r="D60" s="239">
        <f t="shared" si="1"/>
        <v>1.1098297638660077</v>
      </c>
      <c r="F60" s="143">
        <f t="shared" si="0"/>
        <v>0.90103908955962386</v>
      </c>
      <c r="G60" s="143">
        <v>30</v>
      </c>
      <c r="H60" s="240">
        <f t="shared" si="3"/>
        <v>2.9941994999999999E-2</v>
      </c>
      <c r="I60" s="194">
        <f t="shared" si="2"/>
        <v>1.0299419949999999</v>
      </c>
      <c r="J60" s="240">
        <f t="shared" si="4"/>
        <v>1.0295507431605542</v>
      </c>
    </row>
    <row r="61" spans="1:10" x14ac:dyDescent="0.35">
      <c r="C61" s="143">
        <v>35</v>
      </c>
      <c r="D61" s="239">
        <f t="shared" si="1"/>
        <v>1.1281347245103424</v>
      </c>
      <c r="F61" s="143">
        <f t="shared" si="0"/>
        <v>0.88641895180918384</v>
      </c>
      <c r="G61" s="143">
        <v>35</v>
      </c>
      <c r="H61" s="240">
        <f t="shared" si="3"/>
        <v>3.4932327499999999E-2</v>
      </c>
      <c r="I61" s="194">
        <f t="shared" si="2"/>
        <v>1.0349323275</v>
      </c>
      <c r="J61" s="240">
        <f t="shared" si="4"/>
        <v>1.0344758670206466</v>
      </c>
    </row>
    <row r="62" spans="1:10" x14ac:dyDescent="0.35">
      <c r="C62" s="143">
        <v>40</v>
      </c>
      <c r="D62" s="239">
        <f t="shared" si="1"/>
        <v>1.146439685154677</v>
      </c>
      <c r="F62" s="143">
        <f t="shared" si="0"/>
        <v>0.87226568737026977</v>
      </c>
      <c r="G62" s="143">
        <v>40</v>
      </c>
      <c r="H62" s="240">
        <f t="shared" si="3"/>
        <v>3.9922659999999999E-2</v>
      </c>
      <c r="I62" s="194">
        <f t="shared" si="2"/>
        <v>1.03992266</v>
      </c>
      <c r="J62" s="240">
        <f t="shared" si="4"/>
        <v>1.0394009908807391</v>
      </c>
    </row>
    <row r="63" spans="1:10" x14ac:dyDescent="0.35">
      <c r="C63" s="143">
        <v>45</v>
      </c>
      <c r="D63" s="239">
        <f t="shared" si="1"/>
        <v>1.1647446457990116</v>
      </c>
      <c r="F63" s="143">
        <f t="shared" si="0"/>
        <v>0.85855728429985856</v>
      </c>
      <c r="G63" s="143">
        <v>45</v>
      </c>
      <c r="H63" s="240">
        <f t="shared" si="3"/>
        <v>4.4912992499999999E-2</v>
      </c>
      <c r="I63" s="194">
        <f t="shared" si="2"/>
        <v>1.0449129925</v>
      </c>
      <c r="J63" s="240">
        <f t="shared" si="4"/>
        <v>1.0443261147408314</v>
      </c>
    </row>
    <row r="64" spans="1:10" x14ac:dyDescent="0.35">
      <c r="C64" s="143">
        <v>50</v>
      </c>
      <c r="D64" s="239">
        <f t="shared" si="1"/>
        <v>1.1830496064433462</v>
      </c>
      <c r="F64" s="143">
        <f t="shared" si="0"/>
        <v>0.84527309299087106</v>
      </c>
      <c r="G64" s="143">
        <v>50</v>
      </c>
      <c r="H64" s="240">
        <f t="shared" si="3"/>
        <v>4.9903324999999998E-2</v>
      </c>
      <c r="I64" s="194">
        <f t="shared" si="2"/>
        <v>1.0499033250000001</v>
      </c>
      <c r="J64" s="240">
        <f t="shared" si="4"/>
        <v>1.0492512386009238</v>
      </c>
    </row>
    <row r="65" spans="3:10" x14ac:dyDescent="0.35">
      <c r="C65" s="143">
        <v>55</v>
      </c>
      <c r="D65" s="239">
        <f t="shared" si="1"/>
        <v>1.2013545670876808</v>
      </c>
      <c r="F65" s="143">
        <f t="shared" si="0"/>
        <v>0.83239372238305642</v>
      </c>
      <c r="G65" s="143">
        <v>55</v>
      </c>
      <c r="H65" s="240">
        <f t="shared" si="3"/>
        <v>5.4893657500000005E-2</v>
      </c>
      <c r="I65" s="194">
        <f t="shared" si="2"/>
        <v>1.0548936575000001</v>
      </c>
      <c r="J65" s="240">
        <f t="shared" si="4"/>
        <v>1.0541763624610163</v>
      </c>
    </row>
    <row r="66" spans="3:10" x14ac:dyDescent="0.35">
      <c r="C66" s="143">
        <v>60</v>
      </c>
      <c r="D66" s="239">
        <f t="shared" si="1"/>
        <v>1.2196595277320155</v>
      </c>
      <c r="F66" s="143">
        <f t="shared" si="0"/>
        <v>0.81990094552003601</v>
      </c>
      <c r="G66" s="143">
        <v>60</v>
      </c>
      <c r="H66" s="240">
        <f t="shared" si="3"/>
        <v>5.9883989999999998E-2</v>
      </c>
      <c r="I66" s="194">
        <f t="shared" si="2"/>
        <v>1.0598839899999999</v>
      </c>
      <c r="J66" s="240">
        <f t="shared" si="4"/>
        <v>1.0591014863211086</v>
      </c>
    </row>
    <row r="67" spans="3:10" x14ac:dyDescent="0.35">
      <c r="C67" s="143">
        <v>65</v>
      </c>
      <c r="D67" s="239">
        <f t="shared" si="1"/>
        <v>1.2379644883763501</v>
      </c>
      <c r="F67" s="143">
        <f t="shared" si="0"/>
        <v>0.80777761348513966</v>
      </c>
      <c r="G67" s="143">
        <v>65</v>
      </c>
      <c r="H67" s="240">
        <f t="shared" si="3"/>
        <v>6.4874322499999998E-2</v>
      </c>
      <c r="I67" s="194">
        <f t="shared" si="2"/>
        <v>1.0648743224999999</v>
      </c>
      <c r="J67" s="240">
        <f t="shared" si="4"/>
        <v>1.0640266101812008</v>
      </c>
    </row>
    <row r="68" spans="3:10" x14ac:dyDescent="0.35">
      <c r="C68" s="143">
        <v>70</v>
      </c>
      <c r="D68" s="239">
        <f t="shared" si="1"/>
        <v>1.2562694490206847</v>
      </c>
      <c r="F68" s="143">
        <f t="shared" si="0"/>
        <v>0.79600757686143075</v>
      </c>
      <c r="G68" s="143">
        <v>70</v>
      </c>
      <c r="H68" s="240">
        <f t="shared" si="3"/>
        <v>6.9864654999999998E-2</v>
      </c>
      <c r="I68" s="194">
        <f t="shared" si="2"/>
        <v>1.0698646549999999</v>
      </c>
      <c r="J68" s="240">
        <f t="shared" si="4"/>
        <v>1.0689517340412933</v>
      </c>
    </row>
    <row r="69" spans="3:10" x14ac:dyDescent="0.35">
      <c r="C69" s="143">
        <v>75</v>
      </c>
      <c r="D69" s="239">
        <f t="shared" si="1"/>
        <v>1.2745744096650193</v>
      </c>
      <c r="F69" s="143">
        <f t="shared" si="0"/>
        <v>0.78457561395950015</v>
      </c>
      <c r="G69" s="143">
        <v>75</v>
      </c>
      <c r="H69" s="240">
        <f t="shared" si="3"/>
        <v>7.4854987499999998E-2</v>
      </c>
      <c r="I69" s="194">
        <f t="shared" si="2"/>
        <v>1.0748549875</v>
      </c>
      <c r="J69" s="240">
        <f t="shared" si="4"/>
        <v>1.0738768579013855</v>
      </c>
    </row>
    <row r="70" spans="3:10" x14ac:dyDescent="0.35">
      <c r="C70" s="143">
        <v>80</v>
      </c>
      <c r="D70" s="239">
        <f t="shared" si="1"/>
        <v>1.292879370309354</v>
      </c>
      <c r="F70" s="143">
        <f t="shared" si="0"/>
        <v>0.77346736514229075</v>
      </c>
      <c r="G70" s="143">
        <v>80</v>
      </c>
      <c r="H70" s="240">
        <f t="shared" si="3"/>
        <v>7.9845319999999997E-2</v>
      </c>
      <c r="I70" s="194">
        <f t="shared" si="2"/>
        <v>1.07984532</v>
      </c>
      <c r="J70" s="240">
        <f t="shared" si="4"/>
        <v>1.078801981761478</v>
      </c>
    </row>
    <row r="71" spans="3:10" x14ac:dyDescent="0.35">
      <c r="C71" s="143">
        <v>85</v>
      </c>
      <c r="D71" s="239">
        <f t="shared" si="1"/>
        <v>1.3111843309536886</v>
      </c>
      <c r="F71" s="143">
        <f t="shared" si="0"/>
        <v>0.76266927265112372</v>
      </c>
      <c r="G71" s="143">
        <v>85</v>
      </c>
      <c r="H71" s="240">
        <f t="shared" si="3"/>
        <v>8.4835652499999997E-2</v>
      </c>
      <c r="I71" s="194">
        <f t="shared" si="2"/>
        <v>1.0848356525</v>
      </c>
      <c r="J71" s="240">
        <f t="shared" si="4"/>
        <v>1.0837271056215705</v>
      </c>
    </row>
    <row r="72" spans="3:10" x14ac:dyDescent="0.35">
      <c r="C72" s="143">
        <v>90</v>
      </c>
      <c r="D72" s="239">
        <f t="shared" si="1"/>
        <v>1.329489291598023</v>
      </c>
      <c r="F72" s="143">
        <f t="shared" si="0"/>
        <v>0.75216852540272616</v>
      </c>
      <c r="G72" s="143">
        <v>90</v>
      </c>
      <c r="H72" s="240">
        <f t="shared" si="3"/>
        <v>8.9825984999999997E-2</v>
      </c>
      <c r="I72" s="194">
        <f t="shared" si="2"/>
        <v>1.0898259850000001</v>
      </c>
      <c r="J72" s="240">
        <f t="shared" si="4"/>
        <v>1.0886522294816627</v>
      </c>
    </row>
    <row r="73" spans="3:10" x14ac:dyDescent="0.35">
      <c r="C73" s="143">
        <v>95</v>
      </c>
      <c r="D73" s="239">
        <f t="shared" si="1"/>
        <v>1.3477942522423576</v>
      </c>
      <c r="F73" s="143">
        <f t="shared" si="0"/>
        <v>0.74195300828466659</v>
      </c>
      <c r="G73" s="143">
        <v>95</v>
      </c>
      <c r="H73" s="240">
        <f t="shared" si="3"/>
        <v>9.4816317499999997E-2</v>
      </c>
      <c r="I73" s="194">
        <f t="shared" si="2"/>
        <v>1.0948163175000001</v>
      </c>
      <c r="J73" s="240">
        <f t="shared" si="4"/>
        <v>1.0935773533417552</v>
      </c>
    </row>
    <row r="74" spans="3:10" x14ac:dyDescent="0.35">
      <c r="C74" s="143">
        <v>100</v>
      </c>
      <c r="D74" s="239">
        <f t="shared" si="1"/>
        <v>1.3660992128866922</v>
      </c>
      <c r="F74" s="143">
        <f t="shared" si="0"/>
        <v>0.73201125552726787</v>
      </c>
      <c r="G74" s="143">
        <v>100</v>
      </c>
      <c r="H74" s="241">
        <f t="shared" si="3"/>
        <v>9.9806649999999997E-2</v>
      </c>
      <c r="I74" s="194">
        <f t="shared" si="2"/>
        <v>1.0998066500000001</v>
      </c>
      <c r="J74" s="240">
        <f t="shared" si="4"/>
        <v>1.0985024772018475</v>
      </c>
    </row>
    <row r="75" spans="3:10" x14ac:dyDescent="0.35">
      <c r="C75" s="143">
        <v>105</v>
      </c>
      <c r="D75" s="239">
        <f t="shared" si="1"/>
        <v>1.3844041735310268</v>
      </c>
      <c r="F75" s="143">
        <f t="shared" si="0"/>
        <v>0.72233240777469265</v>
      </c>
      <c r="G75" s="143">
        <v>105</v>
      </c>
      <c r="H75" s="240">
        <f t="shared" si="3"/>
        <v>0.1047969825</v>
      </c>
      <c r="I75" s="194">
        <f t="shared" si="2"/>
        <v>1.1047969824999999</v>
      </c>
      <c r="J75" s="240">
        <f t="shared" si="4"/>
        <v>1.1034276010619399</v>
      </c>
    </row>
    <row r="76" spans="3:10" x14ac:dyDescent="0.35">
      <c r="C76" s="143">
        <v>110</v>
      </c>
      <c r="D76" s="239">
        <f t="shared" si="1"/>
        <v>1.4027091341753615</v>
      </c>
      <c r="F76" s="143">
        <f t="shared" si="0"/>
        <v>0.71290617251729094</v>
      </c>
      <c r="G76" s="143">
        <v>110</v>
      </c>
      <c r="H76" s="240">
        <f t="shared" si="3"/>
        <v>0.10978731500000001</v>
      </c>
      <c r="I76" s="194">
        <f t="shared" si="2"/>
        <v>1.1097873149999999</v>
      </c>
      <c r="J76" s="240">
        <f t="shared" si="4"/>
        <v>1.1083527249220322</v>
      </c>
    </row>
    <row r="77" spans="3:10" x14ac:dyDescent="0.35">
      <c r="C77" s="143">
        <v>115</v>
      </c>
      <c r="D77" s="239">
        <f t="shared" si="1"/>
        <v>1.4210140948196961</v>
      </c>
      <c r="F77" s="143">
        <f t="shared" si="0"/>
        <v>0.70372278758212037</v>
      </c>
      <c r="G77" s="143">
        <v>115</v>
      </c>
      <c r="H77" s="240">
        <f t="shared" si="3"/>
        <v>0.11477764749999998</v>
      </c>
      <c r="I77" s="194">
        <f t="shared" si="2"/>
        <v>1.1147776475</v>
      </c>
      <c r="J77" s="240">
        <f t="shared" si="4"/>
        <v>1.1132778487821247</v>
      </c>
    </row>
    <row r="78" spans="3:10" x14ac:dyDescent="0.35">
      <c r="C78" s="143">
        <v>120</v>
      </c>
      <c r="D78" s="239">
        <f t="shared" si="1"/>
        <v>1.4393190554640307</v>
      </c>
      <c r="F78" s="143">
        <f t="shared" si="0"/>
        <v>0.69477298740938576</v>
      </c>
      <c r="G78" s="143">
        <v>120</v>
      </c>
      <c r="H78" s="240">
        <f t="shared" si="3"/>
        <v>0.11976798</v>
      </c>
      <c r="I78" s="194">
        <f t="shared" si="2"/>
        <v>1.11976798</v>
      </c>
      <c r="J78" s="240">
        <f t="shared" si="4"/>
        <v>1.1182029726422171</v>
      </c>
    </row>
    <row r="82" spans="6:6" x14ac:dyDescent="0.35">
      <c r="F82" s="143" t="s">
        <v>261</v>
      </c>
    </row>
  </sheetData>
  <mergeCells count="1">
    <mergeCell ref="F14:O1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83CE9-662F-4333-8B66-D0AB169090F9}">
  <sheetPr>
    <tabColor rgb="FFFF0000"/>
  </sheetPr>
  <dimension ref="A1:I87"/>
  <sheetViews>
    <sheetView zoomScaleNormal="100" workbookViewId="0">
      <selection activeCell="G62" sqref="G62"/>
    </sheetView>
  </sheetViews>
  <sheetFormatPr defaultColWidth="9.08984375" defaultRowHeight="14.5" x14ac:dyDescent="0.35"/>
  <cols>
    <col min="1" max="1" width="9.08984375" style="143"/>
    <col min="2" max="2" width="44.08984375" style="143" customWidth="1"/>
    <col min="3" max="3" width="10.6328125" style="143" bestFit="1" customWidth="1"/>
    <col min="4" max="4" width="10.54296875" style="143" bestFit="1" customWidth="1"/>
    <col min="5" max="5" width="9.08984375" style="143"/>
    <col min="6" max="6" width="8.08984375" style="143" bestFit="1" customWidth="1"/>
    <col min="7" max="7" width="45.54296875" style="143" customWidth="1"/>
    <col min="8" max="8" width="18.08984375" style="143" bestFit="1" customWidth="1"/>
    <col min="9" max="9" width="17" style="143" bestFit="1" customWidth="1"/>
    <col min="10" max="16384" width="9.08984375" style="143"/>
  </cols>
  <sheetData>
    <row r="1" spans="1:2" ht="18.5" x14ac:dyDescent="0.45">
      <c r="A1" s="150" t="s">
        <v>279</v>
      </c>
    </row>
    <row r="2" spans="1:2" x14ac:dyDescent="0.35">
      <c r="A2" s="143" t="s">
        <v>371</v>
      </c>
    </row>
    <row r="3" spans="1:2" x14ac:dyDescent="0.35">
      <c r="A3" s="143" t="s">
        <v>372</v>
      </c>
    </row>
    <row r="4" spans="1:2" x14ac:dyDescent="0.35">
      <c r="A4" s="143" t="s">
        <v>373</v>
      </c>
    </row>
    <row r="6" spans="1:2" x14ac:dyDescent="0.35">
      <c r="A6" s="193" t="s">
        <v>312</v>
      </c>
    </row>
    <row r="7" spans="1:2" x14ac:dyDescent="0.35">
      <c r="A7" s="143" t="s">
        <v>280</v>
      </c>
    </row>
    <row r="8" spans="1:2" x14ac:dyDescent="0.35">
      <c r="A8" s="143" t="s">
        <v>313</v>
      </c>
      <c r="B8" s="212"/>
    </row>
    <row r="9" spans="1:2" x14ac:dyDescent="0.35">
      <c r="A9" s="143" t="s">
        <v>351</v>
      </c>
      <c r="B9" s="218"/>
    </row>
    <row r="10" spans="1:2" x14ac:dyDescent="0.35">
      <c r="A10" s="143" t="s">
        <v>387</v>
      </c>
    </row>
    <row r="11" spans="1:2" x14ac:dyDescent="0.35">
      <c r="A11" s="143" t="s">
        <v>319</v>
      </c>
    </row>
    <row r="12" spans="1:2" x14ac:dyDescent="0.35">
      <c r="A12" s="143" t="s">
        <v>356</v>
      </c>
    </row>
    <row r="13" spans="1:2" x14ac:dyDescent="0.35">
      <c r="A13" s="143" t="s">
        <v>388</v>
      </c>
    </row>
    <row r="14" spans="1:2" x14ac:dyDescent="0.35">
      <c r="A14" s="143" t="s">
        <v>320</v>
      </c>
    </row>
    <row r="16" spans="1:2" ht="15.5" x14ac:dyDescent="0.35">
      <c r="A16" s="172" t="s">
        <v>475</v>
      </c>
    </row>
    <row r="17" spans="2:9" ht="58" x14ac:dyDescent="0.35">
      <c r="B17" s="204" t="s">
        <v>281</v>
      </c>
      <c r="C17" s="204" t="s">
        <v>282</v>
      </c>
      <c r="D17" s="205">
        <v>0.6</v>
      </c>
      <c r="F17" s="161" t="s">
        <v>350</v>
      </c>
      <c r="G17" s="161" t="s">
        <v>291</v>
      </c>
      <c r="H17" s="161" t="s">
        <v>292</v>
      </c>
      <c r="I17" s="161" t="s">
        <v>318</v>
      </c>
    </row>
    <row r="18" spans="2:9" x14ac:dyDescent="0.35">
      <c r="B18" s="143" t="s">
        <v>283</v>
      </c>
      <c r="C18" s="143" t="s">
        <v>282</v>
      </c>
      <c r="D18" s="202">
        <f>1-D17</f>
        <v>0.4</v>
      </c>
      <c r="G18" s="206">
        <f>D24</f>
        <v>1214.2857142857144</v>
      </c>
      <c r="H18" s="206">
        <f>D25</f>
        <v>1714.2857142857144</v>
      </c>
      <c r="I18" s="206">
        <f>D26</f>
        <v>1964.2857142857144</v>
      </c>
    </row>
    <row r="19" spans="2:9" x14ac:dyDescent="0.35">
      <c r="B19" s="143" t="s">
        <v>281</v>
      </c>
      <c r="C19" s="143" t="s">
        <v>284</v>
      </c>
      <c r="D19" s="203">
        <f>D17*1000/22.4*16</f>
        <v>428.57142857142861</v>
      </c>
      <c r="F19" s="202">
        <v>0.55000000000000004</v>
      </c>
      <c r="G19" s="206">
        <f t="dataTable" ref="G19:I29" dt2D="0" dtr="0" r1="D17"/>
        <v>1276.7857142857142</v>
      </c>
      <c r="H19" s="206">
        <v>1571.4285714285716</v>
      </c>
      <c r="I19" s="206">
        <v>1964.2857142857142</v>
      </c>
    </row>
    <row r="20" spans="2:9" x14ac:dyDescent="0.35">
      <c r="C20" s="143" t="s">
        <v>557</v>
      </c>
      <c r="D20" s="321">
        <f>D19/16</f>
        <v>26.785714285714288</v>
      </c>
      <c r="F20" s="202">
        <v>0.56000000000000005</v>
      </c>
      <c r="G20" s="206">
        <v>1264.2857142857142</v>
      </c>
      <c r="H20" s="206">
        <v>1600</v>
      </c>
      <c r="I20" s="206">
        <v>1964.2857142857142</v>
      </c>
    </row>
    <row r="21" spans="2:9" x14ac:dyDescent="0.35">
      <c r="B21" s="143" t="s">
        <v>560</v>
      </c>
      <c r="C21" s="143" t="s">
        <v>561</v>
      </c>
      <c r="D21" s="143">
        <v>891</v>
      </c>
      <c r="F21" s="202">
        <v>0.56999999999999995</v>
      </c>
      <c r="G21" s="206">
        <v>1251.7857142857144</v>
      </c>
      <c r="H21" s="206">
        <v>1628.5714285714287</v>
      </c>
      <c r="I21" s="206">
        <v>1964.2857142857144</v>
      </c>
    </row>
    <row r="22" spans="2:9" x14ac:dyDescent="0.35">
      <c r="B22" s="143" t="s">
        <v>558</v>
      </c>
      <c r="C22" s="143" t="s">
        <v>559</v>
      </c>
      <c r="D22" s="203">
        <f>D20*D21/1000</f>
        <v>23.866071428571431</v>
      </c>
      <c r="F22" s="202">
        <v>0.57999999999999996</v>
      </c>
      <c r="G22" s="206">
        <v>1239.2857142857144</v>
      </c>
      <c r="H22" s="206">
        <v>1657.1428571428573</v>
      </c>
      <c r="I22" s="206">
        <v>1964.2857142857147</v>
      </c>
    </row>
    <row r="23" spans="2:9" x14ac:dyDescent="0.35">
      <c r="B23" s="143" t="s">
        <v>283</v>
      </c>
      <c r="C23" s="143" t="s">
        <v>284</v>
      </c>
      <c r="D23" s="203">
        <f>D18*1000/22.4*44</f>
        <v>785.71428571428578</v>
      </c>
      <c r="F23" s="202">
        <v>0.59</v>
      </c>
      <c r="G23" s="206">
        <v>1226.7857142857142</v>
      </c>
      <c r="H23" s="206">
        <v>1685.7142857142858</v>
      </c>
      <c r="I23" s="206">
        <v>1964.2857142857144</v>
      </c>
    </row>
    <row r="24" spans="2:9" x14ac:dyDescent="0.35">
      <c r="B24" s="143" t="s">
        <v>285</v>
      </c>
      <c r="C24" s="143" t="s">
        <v>284</v>
      </c>
      <c r="D24" s="203">
        <f>D19+D23</f>
        <v>1214.2857142857144</v>
      </c>
      <c r="F24" s="202">
        <v>0.6</v>
      </c>
      <c r="G24" s="206">
        <v>1214.2857142857144</v>
      </c>
      <c r="H24" s="206">
        <v>1714.2857142857144</v>
      </c>
      <c r="I24" s="206">
        <v>1964.2857142857144</v>
      </c>
    </row>
    <row r="25" spans="2:9" x14ac:dyDescent="0.35">
      <c r="B25" s="143" t="s">
        <v>286</v>
      </c>
      <c r="C25" s="143" t="s">
        <v>287</v>
      </c>
      <c r="D25" s="203">
        <f>D17*1000/22.4*2*32</f>
        <v>1714.2857142857144</v>
      </c>
      <c r="F25" s="202">
        <v>0.61</v>
      </c>
      <c r="G25" s="206">
        <v>1201.7857142857144</v>
      </c>
      <c r="H25" s="206">
        <v>1742.8571428571429</v>
      </c>
      <c r="I25" s="206">
        <v>1964.2857142857144</v>
      </c>
    </row>
    <row r="26" spans="2:9" x14ac:dyDescent="0.35">
      <c r="B26" s="143" t="s">
        <v>288</v>
      </c>
      <c r="C26" s="143" t="s">
        <v>289</v>
      </c>
      <c r="D26" s="203">
        <f>D17*1000/22.4*44+D23</f>
        <v>1964.2857142857144</v>
      </c>
      <c r="F26" s="202">
        <v>0.62</v>
      </c>
      <c r="G26" s="206">
        <v>1189.2857142857142</v>
      </c>
      <c r="H26" s="206">
        <v>1771.4285714285716</v>
      </c>
      <c r="I26" s="206">
        <v>1964.2857142857142</v>
      </c>
    </row>
    <row r="27" spans="2:9" x14ac:dyDescent="0.35">
      <c r="B27" s="143" t="s">
        <v>290</v>
      </c>
      <c r="C27" s="143" t="s">
        <v>289</v>
      </c>
      <c r="D27" s="143">
        <f>23.3*84.2</f>
        <v>1961.8600000000001</v>
      </c>
      <c r="F27" s="202">
        <v>0.63</v>
      </c>
      <c r="G27" s="206">
        <v>1176.7857142857142</v>
      </c>
      <c r="H27" s="206">
        <v>1800.0000000000002</v>
      </c>
      <c r="I27" s="206">
        <v>1964.2857142857144</v>
      </c>
    </row>
    <row r="28" spans="2:9" x14ac:dyDescent="0.35">
      <c r="D28" s="203"/>
      <c r="F28" s="202">
        <v>0.64</v>
      </c>
      <c r="G28" s="206">
        <v>1164.2857142857144</v>
      </c>
      <c r="H28" s="206">
        <v>1828.5714285714287</v>
      </c>
      <c r="I28" s="206">
        <v>1964.2857142857142</v>
      </c>
    </row>
    <row r="29" spans="2:9" x14ac:dyDescent="0.35">
      <c r="B29" s="143" t="s">
        <v>562</v>
      </c>
      <c r="F29" s="202">
        <v>0.65</v>
      </c>
      <c r="G29" s="206">
        <v>1151.7857142857144</v>
      </c>
      <c r="H29" s="206">
        <v>1857.1428571428573</v>
      </c>
      <c r="I29" s="206">
        <v>1964.2857142857147</v>
      </c>
    </row>
    <row r="30" spans="2:9" x14ac:dyDescent="0.35">
      <c r="B30" s="322" t="s">
        <v>563</v>
      </c>
      <c r="F30" s="202"/>
      <c r="G30" s="206"/>
      <c r="H30" s="206"/>
      <c r="I30" s="206"/>
    </row>
    <row r="31" spans="2:9" x14ac:dyDescent="0.35">
      <c r="F31" s="202"/>
      <c r="G31" s="206"/>
      <c r="H31" s="206"/>
      <c r="I31" s="206"/>
    </row>
    <row r="32" spans="2:9" x14ac:dyDescent="0.35">
      <c r="D32" s="203">
        <f>D26-D27</f>
        <v>2.4257142857143208</v>
      </c>
      <c r="F32" s="202"/>
    </row>
    <row r="33" spans="1:9" x14ac:dyDescent="0.35">
      <c r="D33" s="143">
        <f>D32/D27</f>
        <v>1.2364359769373556E-3</v>
      </c>
    </row>
    <row r="36" spans="1:9" ht="15.5" x14ac:dyDescent="0.35">
      <c r="A36" s="172" t="s">
        <v>326</v>
      </c>
    </row>
    <row r="37" spans="1:9" x14ac:dyDescent="0.35">
      <c r="A37" s="143" t="s">
        <v>327</v>
      </c>
    </row>
    <row r="38" spans="1:9" x14ac:dyDescent="0.35">
      <c r="A38" s="143" t="s">
        <v>328</v>
      </c>
    </row>
    <row r="39" spans="1:9" x14ac:dyDescent="0.35">
      <c r="A39" s="143" t="s">
        <v>355</v>
      </c>
      <c r="G39" s="212"/>
    </row>
    <row r="40" spans="1:9" x14ac:dyDescent="0.35">
      <c r="A40" s="143" t="s">
        <v>336</v>
      </c>
    </row>
    <row r="41" spans="1:9" x14ac:dyDescent="0.35">
      <c r="A41" s="143" t="s">
        <v>476</v>
      </c>
      <c r="G41" s="218"/>
      <c r="H41" s="218"/>
    </row>
    <row r="42" spans="1:9" x14ac:dyDescent="0.35">
      <c r="A42" s="143" t="s">
        <v>477</v>
      </c>
    </row>
    <row r="44" spans="1:9" x14ac:dyDescent="0.35">
      <c r="B44" s="143" t="s">
        <v>478</v>
      </c>
    </row>
    <row r="45" spans="1:9" x14ac:dyDescent="0.35">
      <c r="B45" s="193" t="s">
        <v>298</v>
      </c>
      <c r="G45" s="193" t="s">
        <v>321</v>
      </c>
    </row>
    <row r="46" spans="1:9" x14ac:dyDescent="0.35">
      <c r="B46" s="204" t="s">
        <v>281</v>
      </c>
      <c r="C46" s="204" t="s">
        <v>282</v>
      </c>
      <c r="D46" s="205">
        <v>0.61</v>
      </c>
      <c r="G46" s="218" t="s">
        <v>299</v>
      </c>
      <c r="H46" s="218" t="s">
        <v>65</v>
      </c>
      <c r="I46" s="219">
        <f>D47+D58+D69+D80</f>
        <v>2500000</v>
      </c>
    </row>
    <row r="47" spans="1:9" x14ac:dyDescent="0.35">
      <c r="B47" s="204" t="s">
        <v>299</v>
      </c>
      <c r="C47" s="204" t="s">
        <v>65</v>
      </c>
      <c r="D47" s="208">
        <v>2000000</v>
      </c>
      <c r="G47" s="143" t="s">
        <v>302</v>
      </c>
      <c r="H47" s="143" t="s">
        <v>3</v>
      </c>
      <c r="I47" s="210">
        <f>($D$47*D49+$D$58*D60+$D$69*D71+$D$80*D82)/1000</f>
        <v>1103571.4285714286</v>
      </c>
    </row>
    <row r="48" spans="1:9" x14ac:dyDescent="0.35">
      <c r="B48" s="143" t="s">
        <v>283</v>
      </c>
      <c r="C48" s="143" t="s">
        <v>282</v>
      </c>
      <c r="D48" s="202">
        <f>1-D46</f>
        <v>0.39</v>
      </c>
      <c r="G48" s="143" t="s">
        <v>305</v>
      </c>
      <c r="H48" s="143" t="s">
        <v>3</v>
      </c>
      <c r="I48" s="210">
        <f>($D$47*D50+$D$58*D61+$D$69*D72+$D$80*D83)/1000</f>
        <v>1875892.8571428573</v>
      </c>
    </row>
    <row r="49" spans="2:9" x14ac:dyDescent="0.35">
      <c r="B49" s="143" t="s">
        <v>281</v>
      </c>
      <c r="C49" s="143" t="s">
        <v>284</v>
      </c>
      <c r="D49" s="203">
        <f>D46*1000/22.4*16</f>
        <v>435.71428571428572</v>
      </c>
      <c r="G49" s="218" t="s">
        <v>303</v>
      </c>
      <c r="H49" s="218" t="s">
        <v>293</v>
      </c>
      <c r="I49" s="220">
        <f>I47/I46/16*22.4</f>
        <v>0.61799999999999999</v>
      </c>
    </row>
    <row r="50" spans="2:9" x14ac:dyDescent="0.35">
      <c r="B50" s="143" t="s">
        <v>283</v>
      </c>
      <c r="C50" s="143" t="s">
        <v>284</v>
      </c>
      <c r="D50" s="203">
        <f>D48*1000/22.4*44</f>
        <v>766.07142857142867</v>
      </c>
      <c r="G50" s="218" t="s">
        <v>304</v>
      </c>
      <c r="H50" s="218" t="s">
        <v>293</v>
      </c>
      <c r="I50" s="220">
        <f>I48/I46/44*22.4</f>
        <v>0.38200000000000006</v>
      </c>
    </row>
    <row r="51" spans="2:9" x14ac:dyDescent="0.35">
      <c r="B51" s="143" t="s">
        <v>285</v>
      </c>
      <c r="C51" s="143" t="s">
        <v>284</v>
      </c>
      <c r="D51" s="203">
        <f>D49+D50</f>
        <v>1201.7857142857144</v>
      </c>
    </row>
    <row r="52" spans="2:9" x14ac:dyDescent="0.35">
      <c r="B52" s="143" t="s">
        <v>286</v>
      </c>
      <c r="C52" s="143" t="s">
        <v>287</v>
      </c>
      <c r="D52" s="143">
        <f>D46*1000/22.4*2*32</f>
        <v>1742.8571428571429</v>
      </c>
    </row>
    <row r="53" spans="2:9" x14ac:dyDescent="0.35">
      <c r="B53" s="143" t="s">
        <v>288</v>
      </c>
      <c r="C53" s="143" t="s">
        <v>289</v>
      </c>
      <c r="D53" s="143">
        <f>D46*1000/22.4*44+D50</f>
        <v>1964.2857142857144</v>
      </c>
    </row>
    <row r="54" spans="2:9" x14ac:dyDescent="0.35">
      <c r="B54" s="143" t="s">
        <v>290</v>
      </c>
      <c r="C54" s="143" t="s">
        <v>289</v>
      </c>
      <c r="D54" s="143">
        <f>23.3*84.2</f>
        <v>1961.8600000000001</v>
      </c>
    </row>
    <row r="56" spans="2:9" x14ac:dyDescent="0.35">
      <c r="B56" s="193" t="s">
        <v>300</v>
      </c>
    </row>
    <row r="57" spans="2:9" x14ac:dyDescent="0.35">
      <c r="B57" s="204" t="s">
        <v>281</v>
      </c>
      <c r="C57" s="204" t="s">
        <v>282</v>
      </c>
      <c r="D57" s="205">
        <v>0.65</v>
      </c>
    </row>
    <row r="58" spans="2:9" x14ac:dyDescent="0.35">
      <c r="B58" s="204" t="s">
        <v>299</v>
      </c>
      <c r="C58" s="204" t="s">
        <v>65</v>
      </c>
      <c r="D58" s="208">
        <v>500000</v>
      </c>
    </row>
    <row r="59" spans="2:9" x14ac:dyDescent="0.35">
      <c r="B59" s="143" t="s">
        <v>283</v>
      </c>
      <c r="C59" s="143" t="s">
        <v>282</v>
      </c>
      <c r="D59" s="202">
        <f>1-D57</f>
        <v>0.35</v>
      </c>
    </row>
    <row r="60" spans="2:9" x14ac:dyDescent="0.35">
      <c r="B60" s="143" t="s">
        <v>281</v>
      </c>
      <c r="C60" s="143" t="s">
        <v>284</v>
      </c>
      <c r="D60" s="203">
        <f>D57*1000/22.4*16</f>
        <v>464.28571428571433</v>
      </c>
    </row>
    <row r="61" spans="2:9" x14ac:dyDescent="0.35">
      <c r="B61" s="143" t="s">
        <v>283</v>
      </c>
      <c r="C61" s="143" t="s">
        <v>284</v>
      </c>
      <c r="D61" s="203">
        <f>D59*1000/22.4*44</f>
        <v>687.50000000000011</v>
      </c>
    </row>
    <row r="62" spans="2:9" x14ac:dyDescent="0.35">
      <c r="B62" s="143" t="s">
        <v>285</v>
      </c>
      <c r="C62" s="143" t="s">
        <v>284</v>
      </c>
      <c r="D62" s="203">
        <f>D60+D61</f>
        <v>1151.7857142857144</v>
      </c>
    </row>
    <row r="63" spans="2:9" x14ac:dyDescent="0.35">
      <c r="B63" s="143" t="s">
        <v>286</v>
      </c>
      <c r="C63" s="143" t="s">
        <v>287</v>
      </c>
      <c r="D63" s="143">
        <f>D57*1000/22.4*2*32</f>
        <v>1857.1428571428573</v>
      </c>
    </row>
    <row r="64" spans="2:9" x14ac:dyDescent="0.35">
      <c r="B64" s="143" t="s">
        <v>288</v>
      </c>
      <c r="C64" s="143" t="s">
        <v>289</v>
      </c>
      <c r="D64" s="143">
        <f>D57*1000/22.4*44+D61</f>
        <v>1964.2857142857147</v>
      </c>
    </row>
    <row r="65" spans="2:4" x14ac:dyDescent="0.35">
      <c r="B65" s="143" t="s">
        <v>290</v>
      </c>
      <c r="C65" s="143" t="s">
        <v>289</v>
      </c>
      <c r="D65" s="143">
        <f>23.3*84.2</f>
        <v>1961.8600000000001</v>
      </c>
    </row>
    <row r="66" spans="2:4" x14ac:dyDescent="0.35">
      <c r="B66" s="193"/>
    </row>
    <row r="67" spans="2:4" x14ac:dyDescent="0.35">
      <c r="B67" s="193" t="s">
        <v>301</v>
      </c>
    </row>
    <row r="68" spans="2:4" x14ac:dyDescent="0.35">
      <c r="B68" s="204" t="s">
        <v>281</v>
      </c>
      <c r="C68" s="204" t="s">
        <v>282</v>
      </c>
      <c r="D68" s="205">
        <v>0.65</v>
      </c>
    </row>
    <row r="69" spans="2:4" x14ac:dyDescent="0.35">
      <c r="B69" s="204" t="s">
        <v>299</v>
      </c>
      <c r="C69" s="204" t="s">
        <v>65</v>
      </c>
      <c r="D69" s="221">
        <v>0</v>
      </c>
    </row>
    <row r="70" spans="2:4" x14ac:dyDescent="0.35">
      <c r="B70" s="143" t="s">
        <v>283</v>
      </c>
      <c r="C70" s="143" t="s">
        <v>282</v>
      </c>
      <c r="D70" s="202">
        <f>1-D68</f>
        <v>0.35</v>
      </c>
    </row>
    <row r="71" spans="2:4" x14ac:dyDescent="0.35">
      <c r="B71" s="143" t="s">
        <v>281</v>
      </c>
      <c r="C71" s="143" t="s">
        <v>284</v>
      </c>
      <c r="D71" s="203">
        <f>D68*1000/22.4*16</f>
        <v>464.28571428571433</v>
      </c>
    </row>
    <row r="72" spans="2:4" x14ac:dyDescent="0.35">
      <c r="B72" s="143" t="s">
        <v>283</v>
      </c>
      <c r="C72" s="143" t="s">
        <v>284</v>
      </c>
      <c r="D72" s="203">
        <f>D70*1000/22.4*44</f>
        <v>687.50000000000011</v>
      </c>
    </row>
    <row r="73" spans="2:4" x14ac:dyDescent="0.35">
      <c r="B73" s="143" t="s">
        <v>285</v>
      </c>
      <c r="C73" s="143" t="s">
        <v>284</v>
      </c>
      <c r="D73" s="203">
        <f>D71+D72</f>
        <v>1151.7857142857144</v>
      </c>
    </row>
    <row r="74" spans="2:4" x14ac:dyDescent="0.35">
      <c r="B74" s="143" t="s">
        <v>286</v>
      </c>
      <c r="C74" s="143" t="s">
        <v>287</v>
      </c>
      <c r="D74" s="143">
        <f>D68*1000/22.4*2*32</f>
        <v>1857.1428571428573</v>
      </c>
    </row>
    <row r="75" spans="2:4" x14ac:dyDescent="0.35">
      <c r="B75" s="143" t="s">
        <v>288</v>
      </c>
      <c r="C75" s="143" t="s">
        <v>289</v>
      </c>
      <c r="D75" s="143">
        <f>D68*1000/22.4*44+D72</f>
        <v>1964.2857142857147</v>
      </c>
    </row>
    <row r="76" spans="2:4" x14ac:dyDescent="0.35">
      <c r="B76" s="143" t="s">
        <v>290</v>
      </c>
      <c r="C76" s="143" t="s">
        <v>289</v>
      </c>
      <c r="D76" s="143">
        <f>23.3*84.2</f>
        <v>1961.8600000000001</v>
      </c>
    </row>
    <row r="77" spans="2:4" x14ac:dyDescent="0.35">
      <c r="B77" s="235"/>
      <c r="C77" s="235"/>
      <c r="D77" s="209"/>
    </row>
    <row r="78" spans="2:4" x14ac:dyDescent="0.35">
      <c r="B78" s="193" t="s">
        <v>335</v>
      </c>
    </row>
    <row r="79" spans="2:4" x14ac:dyDescent="0.35">
      <c r="B79" s="204" t="s">
        <v>281</v>
      </c>
      <c r="C79" s="204" t="s">
        <v>282</v>
      </c>
      <c r="D79" s="205">
        <v>0.62</v>
      </c>
    </row>
    <row r="80" spans="2:4" x14ac:dyDescent="0.35">
      <c r="B80" s="204" t="s">
        <v>299</v>
      </c>
      <c r="C80" s="204" t="s">
        <v>65</v>
      </c>
      <c r="D80" s="221">
        <v>0</v>
      </c>
    </row>
    <row r="81" spans="2:4" x14ac:dyDescent="0.35">
      <c r="B81" s="143" t="s">
        <v>283</v>
      </c>
      <c r="C81" s="143" t="s">
        <v>282</v>
      </c>
      <c r="D81" s="202">
        <f>1-D79</f>
        <v>0.38</v>
      </c>
    </row>
    <row r="82" spans="2:4" x14ac:dyDescent="0.35">
      <c r="B82" s="143" t="s">
        <v>281</v>
      </c>
      <c r="C82" s="143" t="s">
        <v>284</v>
      </c>
      <c r="D82" s="203">
        <f>D79*1000/22.4*16</f>
        <v>442.85714285714289</v>
      </c>
    </row>
    <row r="83" spans="2:4" x14ac:dyDescent="0.35">
      <c r="B83" s="143" t="s">
        <v>283</v>
      </c>
      <c r="C83" s="143" t="s">
        <v>284</v>
      </c>
      <c r="D83" s="203">
        <f>D81*1000/22.4*44</f>
        <v>746.42857142857144</v>
      </c>
    </row>
    <row r="84" spans="2:4" x14ac:dyDescent="0.35">
      <c r="B84" s="143" t="s">
        <v>285</v>
      </c>
      <c r="C84" s="143" t="s">
        <v>284</v>
      </c>
      <c r="D84" s="203">
        <f>D82+D83</f>
        <v>1189.2857142857142</v>
      </c>
    </row>
    <row r="85" spans="2:4" x14ac:dyDescent="0.35">
      <c r="B85" s="143" t="s">
        <v>286</v>
      </c>
      <c r="C85" s="143" t="s">
        <v>287</v>
      </c>
      <c r="D85" s="143">
        <f>D79*1000/22.4*2*32</f>
        <v>1771.4285714285716</v>
      </c>
    </row>
    <row r="86" spans="2:4" x14ac:dyDescent="0.35">
      <c r="B86" s="143" t="s">
        <v>288</v>
      </c>
      <c r="C86" s="143" t="s">
        <v>289</v>
      </c>
      <c r="D86" s="143">
        <f>D79*1000/22.4*44+D83</f>
        <v>1964.2857142857142</v>
      </c>
    </row>
    <row r="87" spans="2:4" x14ac:dyDescent="0.35">
      <c r="B87" s="143" t="s">
        <v>290</v>
      </c>
      <c r="C87" s="143" t="s">
        <v>289</v>
      </c>
      <c r="D87" s="143">
        <f>23.3*84.2</f>
        <v>1961.8600000000001</v>
      </c>
    </row>
  </sheetData>
  <hyperlinks>
    <hyperlink ref="B30" r:id="rId1" xr:uid="{3C51C256-6619-45DE-9D90-8B1B03A8B38D}"/>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6"/>
  <sheetViews>
    <sheetView workbookViewId="0">
      <selection activeCell="A5" sqref="A5"/>
    </sheetView>
  </sheetViews>
  <sheetFormatPr defaultRowHeight="12.5" x14ac:dyDescent="0.25"/>
  <cols>
    <col min="1" max="1" width="89.36328125" bestFit="1" customWidth="1"/>
    <col min="2" max="2" width="19.453125" bestFit="1" customWidth="1"/>
    <col min="3" max="3" width="9" bestFit="1" customWidth="1"/>
    <col min="4" max="4" width="20.08984375" bestFit="1" customWidth="1"/>
    <col min="5" max="5" width="4.54296875" bestFit="1" customWidth="1"/>
  </cols>
  <sheetData>
    <row r="1" spans="1:1" s="143" customFormat="1" ht="15.5" x14ac:dyDescent="0.35">
      <c r="A1" s="172" t="s">
        <v>334</v>
      </c>
    </row>
    <row r="2" spans="1:1" s="143" customFormat="1" ht="14.5" x14ac:dyDescent="0.35">
      <c r="A2" s="143" t="s">
        <v>333</v>
      </c>
    </row>
    <row r="3" spans="1:1" s="143" customFormat="1" ht="14.5" x14ac:dyDescent="0.35">
      <c r="A3" s="143" t="s">
        <v>547</v>
      </c>
    </row>
    <row r="4" spans="1:1" s="143" customFormat="1" ht="14.5" x14ac:dyDescent="0.35"/>
    <row r="5" spans="1:1" s="143" customFormat="1" ht="14.5" x14ac:dyDescent="0.35"/>
    <row r="6" spans="1:1" s="143" customFormat="1" ht="14.5" x14ac:dyDescent="0.3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S7"/>
  <sheetViews>
    <sheetView topLeftCell="A6" zoomScaleNormal="100" workbookViewId="0">
      <selection activeCell="A9" sqref="A9"/>
    </sheetView>
  </sheetViews>
  <sheetFormatPr defaultColWidth="9.08984375" defaultRowHeight="14.5" x14ac:dyDescent="0.35"/>
  <cols>
    <col min="1" max="16384" width="9.08984375" style="193"/>
  </cols>
  <sheetData>
    <row r="1" spans="2:19" ht="18.5" x14ac:dyDescent="0.45">
      <c r="B1" s="150" t="s">
        <v>364</v>
      </c>
    </row>
    <row r="2" spans="2:19" x14ac:dyDescent="0.35">
      <c r="B2" s="143" t="s">
        <v>569</v>
      </c>
    </row>
    <row r="3" spans="2:19" x14ac:dyDescent="0.35">
      <c r="B3" s="143" t="s">
        <v>374</v>
      </c>
    </row>
    <row r="7" spans="2:19" x14ac:dyDescent="0.35">
      <c r="S7" s="193" t="s">
        <v>570</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3669A-735B-434E-9A60-9775C9631FF9}">
  <sheetPr>
    <tabColor rgb="FFFF0000"/>
  </sheetPr>
  <dimension ref="A1:S25"/>
  <sheetViews>
    <sheetView workbookViewId="0">
      <selection activeCell="B11" sqref="B11"/>
    </sheetView>
  </sheetViews>
  <sheetFormatPr defaultColWidth="9.08984375" defaultRowHeight="14.5" x14ac:dyDescent="0.35"/>
  <cols>
    <col min="1" max="1" width="5.6328125" style="250" customWidth="1"/>
    <col min="2" max="2" width="9.08984375" style="250"/>
    <col min="3" max="3" width="13.453125" style="250" customWidth="1"/>
    <col min="4" max="4" width="34.6328125" style="250" customWidth="1"/>
    <col min="5" max="5" width="12.6328125" style="250" customWidth="1"/>
    <col min="6" max="6" width="65.54296875" style="250" customWidth="1"/>
    <col min="7" max="7" width="17.453125" style="250" customWidth="1"/>
    <col min="8" max="8" width="7.453125" style="250" customWidth="1"/>
    <col min="9" max="9" width="7.54296875" style="250" customWidth="1"/>
    <col min="10" max="10" width="8" style="250" customWidth="1"/>
    <col min="11" max="11" width="7.90625" style="250" customWidth="1"/>
    <col min="12" max="13" width="8.36328125" style="250" customWidth="1"/>
    <col min="14" max="14" width="9.6328125" style="250" customWidth="1"/>
    <col min="15" max="16384" width="9.08984375" style="250"/>
  </cols>
  <sheetData>
    <row r="1" spans="1:19" ht="18.5" x14ac:dyDescent="0.45">
      <c r="B1" s="262" t="s">
        <v>454</v>
      </c>
      <c r="G1" s="251" t="s">
        <v>473</v>
      </c>
    </row>
    <row r="2" spans="1:19" ht="18.5" x14ac:dyDescent="0.45">
      <c r="A2" s="266"/>
      <c r="B2" s="267"/>
      <c r="C2" s="266"/>
      <c r="D2" s="266"/>
      <c r="E2" s="266"/>
      <c r="F2" s="266"/>
      <c r="G2" s="268"/>
      <c r="H2" s="270" t="s">
        <v>466</v>
      </c>
      <c r="I2" s="270" t="s">
        <v>467</v>
      </c>
      <c r="J2" s="270" t="s">
        <v>468</v>
      </c>
      <c r="K2" s="270" t="s">
        <v>469</v>
      </c>
      <c r="L2" s="270" t="s">
        <v>470</v>
      </c>
      <c r="M2" s="270" t="s">
        <v>18</v>
      </c>
      <c r="N2" s="270" t="s">
        <v>471</v>
      </c>
      <c r="O2" s="270" t="s">
        <v>472</v>
      </c>
    </row>
    <row r="3" spans="1:19" s="251" customFormat="1" ht="29" x14ac:dyDescent="0.35">
      <c r="A3" s="269"/>
      <c r="B3" s="263" t="s">
        <v>427</v>
      </c>
      <c r="C3" s="260" t="s">
        <v>426</v>
      </c>
      <c r="D3" s="260" t="s">
        <v>401</v>
      </c>
      <c r="E3" s="260" t="s">
        <v>402</v>
      </c>
      <c r="F3" s="260" t="s">
        <v>403</v>
      </c>
      <c r="G3" s="260" t="s">
        <v>404</v>
      </c>
      <c r="H3" s="261" t="s">
        <v>428</v>
      </c>
      <c r="I3" s="261" t="s">
        <v>429</v>
      </c>
      <c r="J3" s="261" t="s">
        <v>459</v>
      </c>
      <c r="K3" s="261" t="s">
        <v>430</v>
      </c>
      <c r="L3" s="261" t="s">
        <v>459</v>
      </c>
      <c r="M3" s="261" t="s">
        <v>441</v>
      </c>
      <c r="N3" s="261" t="s">
        <v>433</v>
      </c>
      <c r="O3" s="261" t="s">
        <v>431</v>
      </c>
      <c r="P3" s="253"/>
      <c r="Q3" s="253"/>
      <c r="R3" s="253"/>
      <c r="S3" s="253"/>
    </row>
    <row r="4" spans="1:19" ht="171.5" x14ac:dyDescent="0.35">
      <c r="A4" s="271">
        <v>1</v>
      </c>
      <c r="B4" s="264" t="s">
        <v>428</v>
      </c>
      <c r="C4" s="254" t="s">
        <v>405</v>
      </c>
      <c r="D4" s="255" t="s">
        <v>446</v>
      </c>
      <c r="E4" s="256" t="s">
        <v>406</v>
      </c>
      <c r="F4" s="256" t="s">
        <v>455</v>
      </c>
      <c r="G4" s="256" t="s">
        <v>407</v>
      </c>
      <c r="H4" s="257" t="s">
        <v>434</v>
      </c>
      <c r="I4" s="258">
        <v>1</v>
      </c>
      <c r="J4" s="258" t="s">
        <v>408</v>
      </c>
      <c r="K4" s="258" t="s">
        <v>409</v>
      </c>
      <c r="L4" s="258" t="s">
        <v>408</v>
      </c>
      <c r="M4" s="258" t="s">
        <v>460</v>
      </c>
      <c r="N4" s="258" t="s">
        <v>408</v>
      </c>
      <c r="O4" s="258" t="s">
        <v>410</v>
      </c>
      <c r="P4" s="259"/>
      <c r="Q4" s="259"/>
      <c r="R4" s="259"/>
      <c r="S4" s="259"/>
    </row>
    <row r="5" spans="1:19" ht="74.5" x14ac:dyDescent="0.35">
      <c r="A5" s="271">
        <v>2</v>
      </c>
      <c r="B5" s="265" t="s">
        <v>429</v>
      </c>
      <c r="C5" s="357" t="s">
        <v>411</v>
      </c>
      <c r="D5" s="255" t="s">
        <v>447</v>
      </c>
      <c r="E5" s="256" t="s">
        <v>412</v>
      </c>
      <c r="F5" s="256" t="s">
        <v>456</v>
      </c>
      <c r="G5" s="256" t="s">
        <v>435</v>
      </c>
      <c r="H5" s="258">
        <v>1</v>
      </c>
      <c r="I5" s="257" t="s">
        <v>436</v>
      </c>
      <c r="J5" s="258" t="s">
        <v>408</v>
      </c>
      <c r="K5" s="258" t="s">
        <v>413</v>
      </c>
      <c r="L5" s="258" t="s">
        <v>408</v>
      </c>
      <c r="M5" s="258" t="s">
        <v>460</v>
      </c>
      <c r="N5" s="258" t="s">
        <v>408</v>
      </c>
      <c r="O5" s="258" t="s">
        <v>414</v>
      </c>
      <c r="P5" s="258"/>
      <c r="Q5" s="259"/>
      <c r="R5" s="259"/>
      <c r="S5" s="259"/>
    </row>
    <row r="6" spans="1:19" ht="60" x14ac:dyDescent="0.35">
      <c r="A6" s="271">
        <v>3</v>
      </c>
      <c r="B6" s="264" t="s">
        <v>459</v>
      </c>
      <c r="C6" s="358"/>
      <c r="D6" s="255" t="s">
        <v>450</v>
      </c>
      <c r="E6" s="256"/>
      <c r="F6" s="256" t="s">
        <v>415</v>
      </c>
      <c r="G6" s="256" t="s">
        <v>437</v>
      </c>
      <c r="H6" s="258" t="s">
        <v>408</v>
      </c>
      <c r="I6" s="258" t="s">
        <v>408</v>
      </c>
      <c r="J6" s="257" t="s">
        <v>436</v>
      </c>
      <c r="K6" s="258" t="s">
        <v>408</v>
      </c>
      <c r="L6" s="258" t="s">
        <v>416</v>
      </c>
      <c r="M6" s="258" t="s">
        <v>408</v>
      </c>
      <c r="N6" s="258" t="s">
        <v>408</v>
      </c>
      <c r="O6" s="258" t="s">
        <v>408</v>
      </c>
      <c r="P6" s="259"/>
      <c r="Q6" s="259"/>
      <c r="R6" s="259"/>
      <c r="S6" s="259"/>
    </row>
    <row r="7" spans="1:19" ht="105.5" x14ac:dyDescent="0.35">
      <c r="A7" s="271">
        <v>4</v>
      </c>
      <c r="B7" s="265" t="s">
        <v>430</v>
      </c>
      <c r="C7" s="357" t="s">
        <v>417</v>
      </c>
      <c r="D7" s="255" t="s">
        <v>448</v>
      </c>
      <c r="E7" s="256" t="s">
        <v>418</v>
      </c>
      <c r="F7" s="256" t="s">
        <v>457</v>
      </c>
      <c r="G7" s="256" t="s">
        <v>435</v>
      </c>
      <c r="H7" s="258" t="s">
        <v>419</v>
      </c>
      <c r="I7" s="258" t="s">
        <v>416</v>
      </c>
      <c r="J7" s="258" t="s">
        <v>408</v>
      </c>
      <c r="K7" s="257" t="s">
        <v>438</v>
      </c>
      <c r="L7" s="258" t="s">
        <v>408</v>
      </c>
      <c r="M7" s="258" t="s">
        <v>461</v>
      </c>
      <c r="N7" s="258" t="s">
        <v>408</v>
      </c>
      <c r="O7" s="258" t="s">
        <v>420</v>
      </c>
      <c r="P7" s="259"/>
      <c r="Q7" s="259"/>
      <c r="R7" s="259"/>
      <c r="S7" s="259"/>
    </row>
    <row r="8" spans="1:19" ht="60" x14ac:dyDescent="0.35">
      <c r="A8" s="271">
        <v>5</v>
      </c>
      <c r="B8" s="264" t="s">
        <v>459</v>
      </c>
      <c r="C8" s="357"/>
      <c r="D8" s="255" t="s">
        <v>449</v>
      </c>
      <c r="E8" s="256"/>
      <c r="F8" s="256" t="s">
        <v>415</v>
      </c>
      <c r="G8" s="256" t="s">
        <v>437</v>
      </c>
      <c r="H8" s="258" t="s">
        <v>408</v>
      </c>
      <c r="I8" s="258" t="s">
        <v>408</v>
      </c>
      <c r="J8" s="258" t="s">
        <v>413</v>
      </c>
      <c r="K8" s="258" t="s">
        <v>408</v>
      </c>
      <c r="L8" s="257" t="s">
        <v>438</v>
      </c>
      <c r="M8" s="258" t="s">
        <v>408</v>
      </c>
      <c r="N8" s="258" t="s">
        <v>408</v>
      </c>
      <c r="O8" s="258" t="s">
        <v>408</v>
      </c>
      <c r="P8" s="258"/>
      <c r="Q8" s="258"/>
      <c r="R8" s="258"/>
      <c r="S8" s="259"/>
    </row>
    <row r="9" spans="1:19" ht="43.5" x14ac:dyDescent="0.35">
      <c r="A9" s="271">
        <v>6</v>
      </c>
      <c r="B9" s="265" t="s">
        <v>441</v>
      </c>
      <c r="C9" s="255" t="s">
        <v>442</v>
      </c>
      <c r="D9" s="255" t="s">
        <v>445</v>
      </c>
      <c r="E9" s="256" t="s">
        <v>443</v>
      </c>
      <c r="F9" s="256" t="s">
        <v>444</v>
      </c>
      <c r="G9" s="256" t="s">
        <v>407</v>
      </c>
      <c r="H9" s="258" t="s">
        <v>462</v>
      </c>
      <c r="I9" s="258" t="s">
        <v>462</v>
      </c>
      <c r="J9" s="258" t="s">
        <v>408</v>
      </c>
      <c r="K9" s="258" t="s">
        <v>463</v>
      </c>
      <c r="L9" s="258" t="s">
        <v>408</v>
      </c>
      <c r="M9" s="257" t="s">
        <v>453</v>
      </c>
      <c r="N9" s="258" t="s">
        <v>408</v>
      </c>
      <c r="O9" s="258" t="s">
        <v>464</v>
      </c>
      <c r="P9" s="258"/>
      <c r="Q9" s="258"/>
      <c r="R9" s="258"/>
      <c r="S9" s="259"/>
    </row>
    <row r="10" spans="1:19" ht="72.5" x14ac:dyDescent="0.35">
      <c r="A10" s="271">
        <v>7</v>
      </c>
      <c r="B10" s="263" t="s">
        <v>433</v>
      </c>
      <c r="C10" s="252">
        <v>1999</v>
      </c>
      <c r="D10" s="255" t="s">
        <v>451</v>
      </c>
      <c r="E10" s="256" t="s">
        <v>432</v>
      </c>
      <c r="F10" s="256" t="s">
        <v>421</v>
      </c>
      <c r="G10" s="256" t="s">
        <v>407</v>
      </c>
      <c r="H10" s="258" t="s">
        <v>408</v>
      </c>
      <c r="I10" s="258" t="s">
        <v>408</v>
      </c>
      <c r="J10" s="258" t="s">
        <v>408</v>
      </c>
      <c r="K10" s="258" t="s">
        <v>408</v>
      </c>
      <c r="L10" s="258" t="s">
        <v>408</v>
      </c>
      <c r="M10" s="258" t="s">
        <v>408</v>
      </c>
      <c r="N10" s="257" t="s">
        <v>439</v>
      </c>
      <c r="O10" s="258" t="s">
        <v>408</v>
      </c>
      <c r="P10" s="258"/>
      <c r="Q10" s="258"/>
      <c r="R10" s="259"/>
      <c r="S10" s="259"/>
    </row>
    <row r="11" spans="1:19" ht="105.5" x14ac:dyDescent="0.35">
      <c r="A11" s="271">
        <v>8</v>
      </c>
      <c r="B11" s="263" t="s">
        <v>431</v>
      </c>
      <c r="C11" s="252">
        <v>2009</v>
      </c>
      <c r="D11" s="255" t="s">
        <v>452</v>
      </c>
      <c r="E11" s="256" t="s">
        <v>422</v>
      </c>
      <c r="F11" s="256" t="s">
        <v>458</v>
      </c>
      <c r="G11" s="256" t="s">
        <v>435</v>
      </c>
      <c r="H11" s="258" t="s">
        <v>423</v>
      </c>
      <c r="I11" s="258" t="s">
        <v>424</v>
      </c>
      <c r="J11" s="258" t="s">
        <v>408</v>
      </c>
      <c r="K11" s="258" t="s">
        <v>425</v>
      </c>
      <c r="L11" s="258" t="s">
        <v>408</v>
      </c>
      <c r="M11" s="258" t="s">
        <v>465</v>
      </c>
      <c r="N11" s="258" t="s">
        <v>408</v>
      </c>
      <c r="O11" s="257" t="s">
        <v>440</v>
      </c>
      <c r="P11" s="258"/>
      <c r="Q11" s="258"/>
      <c r="R11" s="259"/>
      <c r="S11" s="259"/>
    </row>
    <row r="25" spans="7:7" x14ac:dyDescent="0.35">
      <c r="G25" s="259"/>
    </row>
  </sheetData>
  <mergeCells count="2">
    <mergeCell ref="C5:C6"/>
    <mergeCell ref="C7:C8"/>
  </mergeCells>
  <printOptions gridLines="1"/>
  <pageMargins left="0.17" right="0.17" top="0.48" bottom="0.53" header="0.17" footer="0.16"/>
  <pageSetup paperSize="9" orientation="landscape" horizontalDpi="300" verticalDpi="300" r:id="rId1"/>
  <headerFooter alignWithMargins="0">
    <oddHeader>&amp;R&amp;8File: &amp;F
Sheet: &amp;A</oddHeader>
    <oddFooter>&amp;L&amp;8BACO-adviesburo
J. Baltussen&amp;C&amp;8Pagina &amp;P van &amp;N&amp;R&amp;8Printdatum: &amp;D</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51"/>
  <sheetViews>
    <sheetView tabSelected="1" workbookViewId="0">
      <selection activeCell="C56" sqref="C56"/>
    </sheetView>
  </sheetViews>
  <sheetFormatPr defaultColWidth="9.08984375" defaultRowHeight="13" x14ac:dyDescent="0.3"/>
  <cols>
    <col min="1" max="1" width="12" style="180" customWidth="1"/>
    <col min="2" max="2" width="12.6328125" style="180" customWidth="1"/>
    <col min="3" max="3" width="105" style="180" customWidth="1"/>
    <col min="4" max="16384" width="9.08984375" style="180"/>
  </cols>
  <sheetData>
    <row r="1" spans="1:3" ht="21" x14ac:dyDescent="0.3">
      <c r="A1" s="179"/>
      <c r="C1" s="179"/>
    </row>
    <row r="2" spans="1:3" ht="21" x14ac:dyDescent="0.3">
      <c r="A2" s="179"/>
    </row>
    <row r="3" spans="1:3" ht="14.5" x14ac:dyDescent="0.3">
      <c r="A3" s="176"/>
    </row>
    <row r="4" spans="1:3" ht="14.5" x14ac:dyDescent="0.3">
      <c r="A4" s="176"/>
    </row>
    <row r="5" spans="1:3" ht="21" x14ac:dyDescent="0.3">
      <c r="A5" s="181"/>
    </row>
    <row r="6" spans="1:3" ht="14.5" x14ac:dyDescent="0.3">
      <c r="A6" s="177"/>
    </row>
    <row r="7" spans="1:3" ht="14.5" x14ac:dyDescent="0.3">
      <c r="A7" s="176"/>
    </row>
    <row r="8" spans="1:3" ht="14.5" x14ac:dyDescent="0.3">
      <c r="A8" s="176"/>
    </row>
    <row r="9" spans="1:3" ht="14.5" x14ac:dyDescent="0.3">
      <c r="A9" s="176"/>
    </row>
    <row r="10" spans="1:3" ht="14.5" x14ac:dyDescent="0.3">
      <c r="A10" s="178"/>
    </row>
    <row r="11" spans="1:3" ht="14.5" x14ac:dyDescent="0.3">
      <c r="A11" s="176"/>
    </row>
    <row r="12" spans="1:3" ht="14.5" x14ac:dyDescent="0.3">
      <c r="A12" s="176"/>
    </row>
    <row r="13" spans="1:3" ht="14.5" x14ac:dyDescent="0.3">
      <c r="A13" s="176"/>
    </row>
    <row r="14" spans="1:3" ht="14.5" x14ac:dyDescent="0.3">
      <c r="A14" s="176"/>
    </row>
    <row r="15" spans="1:3" ht="14.5" x14ac:dyDescent="0.3">
      <c r="A15" s="176"/>
    </row>
    <row r="16" spans="1:3" ht="14.5" x14ac:dyDescent="0.3">
      <c r="A16" s="176"/>
    </row>
    <row r="17" spans="1:1" ht="14.5" x14ac:dyDescent="0.3">
      <c r="A17" s="176"/>
    </row>
    <row r="18" spans="1:1" ht="14.5" x14ac:dyDescent="0.3">
      <c r="A18" s="176"/>
    </row>
    <row r="19" spans="1:1" ht="14.5" x14ac:dyDescent="0.3">
      <c r="A19" s="176"/>
    </row>
    <row r="20" spans="1:1" ht="14.5" x14ac:dyDescent="0.3">
      <c r="A20" s="178"/>
    </row>
    <row r="21" spans="1:1" ht="14.5" x14ac:dyDescent="0.3">
      <c r="A21" s="176"/>
    </row>
    <row r="22" spans="1:1" ht="14.5" x14ac:dyDescent="0.3">
      <c r="A22" s="176"/>
    </row>
    <row r="23" spans="1:1" ht="14.5" x14ac:dyDescent="0.3">
      <c r="A23" s="177"/>
    </row>
    <row r="24" spans="1:1" ht="14.5" x14ac:dyDescent="0.3">
      <c r="A24" s="177"/>
    </row>
    <row r="25" spans="1:1" ht="14.5" x14ac:dyDescent="0.3">
      <c r="A25" s="177"/>
    </row>
    <row r="26" spans="1:1" ht="14.5" x14ac:dyDescent="0.3">
      <c r="A26" s="177"/>
    </row>
    <row r="27" spans="1:1" ht="14.5" x14ac:dyDescent="0.3">
      <c r="A27" s="177"/>
    </row>
    <row r="28" spans="1:1" ht="14.5" x14ac:dyDescent="0.3">
      <c r="A28" s="178"/>
    </row>
    <row r="29" spans="1:1" ht="14.5" x14ac:dyDescent="0.3">
      <c r="A29" s="178"/>
    </row>
    <row r="30" spans="1:1" ht="14.5" x14ac:dyDescent="0.3">
      <c r="A30" s="178"/>
    </row>
    <row r="31" spans="1:1" ht="14.5" x14ac:dyDescent="0.3">
      <c r="A31" s="177"/>
    </row>
    <row r="32" spans="1:1" ht="14.5" x14ac:dyDescent="0.3">
      <c r="A32" s="177"/>
    </row>
    <row r="35" spans="1:3" ht="18.5" x14ac:dyDescent="0.45">
      <c r="A35" s="182" t="s">
        <v>221</v>
      </c>
      <c r="B35" s="183"/>
      <c r="C35" s="183"/>
    </row>
    <row r="36" spans="1:3" ht="14.5" x14ac:dyDescent="0.35">
      <c r="A36" s="184" t="s">
        <v>222</v>
      </c>
      <c r="B36" s="185" t="s">
        <v>223</v>
      </c>
      <c r="C36" s="185" t="s">
        <v>225</v>
      </c>
    </row>
    <row r="37" spans="1:3" x14ac:dyDescent="0.3">
      <c r="A37" s="187">
        <v>42066</v>
      </c>
      <c r="B37" s="186" t="s">
        <v>224</v>
      </c>
      <c r="C37" s="186" t="s">
        <v>226</v>
      </c>
    </row>
    <row r="38" spans="1:3" x14ac:dyDescent="0.3">
      <c r="A38" s="187">
        <v>42081</v>
      </c>
      <c r="B38" s="186" t="s">
        <v>224</v>
      </c>
      <c r="C38" s="183" t="s">
        <v>230</v>
      </c>
    </row>
    <row r="39" spans="1:3" x14ac:dyDescent="0.3">
      <c r="A39" s="187">
        <v>42083</v>
      </c>
      <c r="B39" s="186" t="s">
        <v>224</v>
      </c>
      <c r="C39" s="183" t="s">
        <v>231</v>
      </c>
    </row>
    <row r="40" spans="1:3" x14ac:dyDescent="0.3">
      <c r="A40" s="187">
        <v>42165</v>
      </c>
      <c r="B40" s="186" t="s">
        <v>224</v>
      </c>
      <c r="C40" s="183" t="s">
        <v>232</v>
      </c>
    </row>
    <row r="41" spans="1:3" ht="65" x14ac:dyDescent="0.3">
      <c r="A41" s="189">
        <v>42426</v>
      </c>
      <c r="B41" s="190" t="s">
        <v>224</v>
      </c>
      <c r="C41" s="188" t="s">
        <v>384</v>
      </c>
    </row>
    <row r="42" spans="1:3" ht="234" x14ac:dyDescent="0.3">
      <c r="A42" s="189">
        <v>43164</v>
      </c>
      <c r="B42" s="190" t="s">
        <v>224</v>
      </c>
      <c r="C42" s="320" t="s">
        <v>490</v>
      </c>
    </row>
    <row r="43" spans="1:3" x14ac:dyDescent="0.3">
      <c r="A43" s="189">
        <v>43172</v>
      </c>
      <c r="B43" s="190" t="s">
        <v>224</v>
      </c>
      <c r="C43" s="188" t="s">
        <v>398</v>
      </c>
    </row>
    <row r="44" spans="1:3" x14ac:dyDescent="0.3">
      <c r="A44" s="187">
        <v>43178</v>
      </c>
      <c r="B44" s="190" t="s">
        <v>224</v>
      </c>
      <c r="C44" s="183" t="s">
        <v>375</v>
      </c>
    </row>
    <row r="45" spans="1:3" ht="52" x14ac:dyDescent="0.3">
      <c r="A45" s="189">
        <v>43846</v>
      </c>
      <c r="B45" s="190" t="s">
        <v>224</v>
      </c>
      <c r="C45" s="188" t="s">
        <v>400</v>
      </c>
    </row>
    <row r="46" spans="1:3" x14ac:dyDescent="0.3">
      <c r="A46" s="187">
        <v>43879</v>
      </c>
      <c r="B46" s="190" t="s">
        <v>224</v>
      </c>
      <c r="C46" s="183" t="s">
        <v>399</v>
      </c>
    </row>
    <row r="47" spans="1:3" x14ac:dyDescent="0.3">
      <c r="A47" s="187">
        <v>43886</v>
      </c>
      <c r="B47" s="190" t="s">
        <v>224</v>
      </c>
      <c r="C47" s="183" t="s">
        <v>474</v>
      </c>
    </row>
    <row r="48" spans="1:3" ht="156" x14ac:dyDescent="0.3">
      <c r="A48" s="189">
        <v>45361</v>
      </c>
      <c r="B48" s="190" t="s">
        <v>224</v>
      </c>
      <c r="C48" s="320" t="s">
        <v>582</v>
      </c>
    </row>
    <row r="49" spans="1:3" ht="108" customHeight="1" x14ac:dyDescent="0.3">
      <c r="A49" s="189">
        <v>45706</v>
      </c>
      <c r="B49" s="190" t="s">
        <v>224</v>
      </c>
      <c r="C49" s="320" t="s">
        <v>584</v>
      </c>
    </row>
    <row r="50" spans="1:3" ht="39" x14ac:dyDescent="0.3">
      <c r="A50" s="189">
        <v>45722</v>
      </c>
      <c r="B50" s="190" t="s">
        <v>224</v>
      </c>
      <c r="C50" s="320" t="s">
        <v>583</v>
      </c>
    </row>
    <row r="51" spans="1:3" x14ac:dyDescent="0.3">
      <c r="A51" s="187"/>
      <c r="B51" s="190"/>
      <c r="C51" s="183"/>
    </row>
  </sheetData>
  <pageMargins left="0.70866141732283472" right="0.70866141732283472" top="0.45" bottom="0.53" header="0.19" footer="0.17"/>
  <pageSetup paperSize="9" orientation="landscape" r:id="rId1"/>
  <headerFooter>
    <oddHeader>&amp;L&amp;"Calibri,Standaard"&amp;8RWZI-Rekentool v2016&amp;R&amp;"Calibri,Standaard"&amp;8Vereniging van Zuiveringbeheerders</oddHeader>
    <oddFooter>&amp;L&amp;"Calibri,Standaard"&amp;8Joop Baltussen
BACO-adviesbureau BV&amp;C&amp;"Calibri,Standaard"&amp;8pagine &amp;P van &amp;N&amp;R&amp;"Calibri,Standaard"&amp;8Datum: 26-02-2016</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8F00D57ECCC2344920AD7CE93E882E6" ma:contentTypeVersion="11" ma:contentTypeDescription="Een nieuw document maken." ma:contentTypeScope="" ma:versionID="6af8c943eb7c15f0960869dfb754391e">
  <xsd:schema xmlns:xsd="http://www.w3.org/2001/XMLSchema" xmlns:xs="http://www.w3.org/2001/XMLSchema" xmlns:p="http://schemas.microsoft.com/office/2006/metadata/properties" xmlns:ns3="fdcfda7f-a36d-4e76-a3de-583fb4f27b74" xmlns:ns4="74e35d17-393e-4bea-9962-1e71ca84b96f" targetNamespace="http://schemas.microsoft.com/office/2006/metadata/properties" ma:root="true" ma:fieldsID="c779f1dc56c30bd86c63a896d56fd7f1" ns3:_="" ns4:_="">
    <xsd:import namespace="fdcfda7f-a36d-4e76-a3de-583fb4f27b74"/>
    <xsd:import namespace="74e35d17-393e-4bea-9962-1e71ca84b96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4:SharedWithUsers" minOccurs="0"/>
                <xsd:element ref="ns4:SharedWithDetails" minOccurs="0"/>
                <xsd:element ref="ns4:SharingHintHash" minOccurs="0"/>
                <xsd:element ref="ns3:MediaServiceOCR" minOccurs="0"/>
                <xsd:element ref="ns3:MediaServiceEventHashCode" minOccurs="0"/>
                <xsd:element ref="ns3: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cfda7f-a36d-4e76-a3de-583fb4f27b7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e35d17-393e-4bea-9962-1e71ca84b96f" elementFormDefault="qualified">
    <xsd:import namespace="http://schemas.microsoft.com/office/2006/documentManagement/types"/>
    <xsd:import namespace="http://schemas.microsoft.com/office/infopath/2007/PartnerControls"/>
    <xsd:element name="SharedWithUsers" ma:index="13"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description="" ma:internalName="SharedWithDetails" ma:readOnly="true">
      <xsd:simpleType>
        <xsd:restriction base="dms:Note">
          <xsd:maxLength value="255"/>
        </xsd:restriction>
      </xsd:simpleType>
    </xsd:element>
    <xsd:element name="SharingHintHash" ma:index="15" nillable="true" ma:displayName="Hint-hash delen"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16423F6-FA38-436A-AFF1-4E094413CA75}">
  <ds:schemaRefs>
    <ds:schemaRef ds:uri="http://schemas.microsoft.com/sharepoint/v3/contenttype/forms"/>
  </ds:schemaRefs>
</ds:datastoreItem>
</file>

<file path=customXml/itemProps2.xml><?xml version="1.0" encoding="utf-8"?>
<ds:datastoreItem xmlns:ds="http://schemas.openxmlformats.org/officeDocument/2006/customXml" ds:itemID="{A41A6170-A7BD-4D79-8A79-A4219D27CF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cfda7f-a36d-4e76-a3de-583fb4f27b74"/>
    <ds:schemaRef ds:uri="74e35d17-393e-4bea-9962-1e71ca84b9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7D212C-CC0E-44B4-9F0A-E22BFAEA2441}">
  <ds:schemaRefs>
    <ds:schemaRef ds:uri="http://schemas.microsoft.com/office/2006/metadata/properties"/>
    <ds:schemaRef ds:uri="http://purl.org/dc/terms/"/>
    <ds:schemaRef ds:uri="http://schemas.openxmlformats.org/package/2006/metadata/core-properties"/>
    <ds:schemaRef ds:uri="fdcfda7f-a36d-4e76-a3de-583fb4f27b74"/>
    <ds:schemaRef ds:uri="http://schemas.microsoft.com/office/2006/documentManagement/types"/>
    <ds:schemaRef ds:uri="http://schemas.microsoft.com/office/infopath/2007/PartnerControls"/>
    <ds:schemaRef ds:uri="http://purl.org/dc/elements/1.1/"/>
    <ds:schemaRef ds:uri="74e35d17-393e-4bea-9962-1e71ca84b96f"/>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Rekentool watergerelateerde Em</vt:lpstr>
      <vt:lpstr>Rekentool luchtgerelateerde Em</vt:lpstr>
      <vt:lpstr>Balans CO2 CZV</vt:lpstr>
      <vt:lpstr>Conversie m3 naar Nm3</vt:lpstr>
      <vt:lpstr>Biogassamenstelling</vt:lpstr>
      <vt:lpstr>Berekening e-factor CO</vt:lpstr>
      <vt:lpstr>Schema's emissies rwzi</vt:lpstr>
      <vt:lpstr>Conversie-tabel IE's</vt:lpstr>
      <vt:lpstr>Colofon Rekentool  + Versiebehr</vt:lpstr>
      <vt:lpstr>DAT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Joop Baltussen</dc:creator>
  <cp:lastModifiedBy>Joop Baltussen</cp:lastModifiedBy>
  <cp:lastPrinted>2016-02-26T14:24:36Z</cp:lastPrinted>
  <dcterms:created xsi:type="dcterms:W3CDTF">2013-01-25T18:19:48Z</dcterms:created>
  <dcterms:modified xsi:type="dcterms:W3CDTF">2026-02-09T10:02:13Z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0x010100E8F00D57ECCC2344920AD7CE93E882E6</vt:lpwstr>
  </property>
  <property fmtid="{D5CDD505-2E9C-101B-9397-08002B2CF9AE}" pid="3" name="MSIP_Label_55e46f04-1151-4928-a464-2b4d83efefbb_Enabled">
    <vt:lpwstr>true</vt:lpwstr>
  </property>
  <property fmtid="{D5CDD505-2E9C-101B-9397-08002B2CF9AE}" pid="4" name="MSIP_Label_55e46f04-1151-4928-a464-2b4d83efefbb_SetDate">
    <vt:lpwstr>2024-03-08T12:04:01Z</vt:lpwstr>
  </property>
  <property fmtid="{D5CDD505-2E9C-101B-9397-08002B2CF9AE}" pid="5" name="MSIP_Label_55e46f04-1151-4928-a464-2b4d83efefbb_Method">
    <vt:lpwstr>Standard</vt:lpwstr>
  </property>
  <property fmtid="{D5CDD505-2E9C-101B-9397-08002B2CF9AE}" pid="6" name="MSIP_Label_55e46f04-1151-4928-a464-2b4d83efefbb_Name">
    <vt:lpwstr>General Information</vt:lpwstr>
  </property>
  <property fmtid="{D5CDD505-2E9C-101B-9397-08002B2CF9AE}" pid="7" name="MSIP_Label_55e46f04-1151-4928-a464-2b4d83efefbb_SiteId">
    <vt:lpwstr>52d58be5-69b4-421b-836e-b92dbe0b067d</vt:lpwstr>
  </property>
  <property fmtid="{D5CDD505-2E9C-101B-9397-08002B2CF9AE}" pid="8" name="MSIP_Label_55e46f04-1151-4928-a464-2b4d83efefbb_ActionId">
    <vt:lpwstr>22eaa57b-88fe-4071-8608-85d4099fc29d</vt:lpwstr>
  </property>
  <property fmtid="{D5CDD505-2E9C-101B-9397-08002B2CF9AE}" pid="9" name="MSIP_Label_55e46f04-1151-4928-a464-2b4d83efefbb_ContentBits">
    <vt:lpwstr>0</vt:lpwstr>
  </property>
</Properties>
</file>